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4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metzker\Seafile\ForEc\1_Forschung\FOB TBN\TBN Großwald\Auswertungen\Hauptauswertung\GW_2024\"/>
    </mc:Choice>
  </mc:AlternateContent>
  <xr:revisionPtr revIDLastSave="0" documentId="8_{034A1F54-B6CE-447D-A7B7-E6FB482DC6BA}" xr6:coauthVersionLast="47" xr6:coauthVersionMax="47" xr10:uidLastSave="{00000000-0000-0000-0000-000000000000}"/>
  <bookViews>
    <workbookView xWindow="-120" yWindow="-120" windowWidth="29040" windowHeight="15720" activeTab="1" xr2:uid="{00000000-000D-0000-FFFF-FFFF00000000}"/>
  </bookViews>
  <sheets>
    <sheet name="Input" sheetId="1" r:id="rId1"/>
    <sheet name="Kenndat" sheetId="13" r:id="rId2"/>
    <sheet name="DB-fm" sheetId="14" r:id="rId3"/>
    <sheet name="DB-ha" sheetId="25" r:id="rId4"/>
    <sheet name="fm-ES" sheetId="16" r:id="rId5"/>
    <sheet name="fm-HS" sheetId="17" r:id="rId6"/>
    <sheet name="ha-ES" sheetId="18" r:id="rId7"/>
    <sheet name="ha-HS" sheetId="19" r:id="rId8"/>
    <sheet name="KZ" sheetId="20" r:id="rId9"/>
    <sheet name="Holzertrag" sheetId="21" r:id="rId10"/>
    <sheet name="Holzertr-Menge%" sheetId="22" r:id="rId11"/>
    <sheet name="Holzertr-Wert%" sheetId="23" r:id="rId12"/>
    <sheet name="Kst-fm-ES" sheetId="2" r:id="rId13"/>
    <sheet name="Kst-fm-HS" sheetId="6" r:id="rId14"/>
    <sheet name="Kst-ha-ES" sheetId="3" r:id="rId15"/>
    <sheet name="Kst-ha-HS" sheetId="7" r:id="rId16"/>
    <sheet name="KOA-fm-ES" sheetId="4" r:id="rId17"/>
    <sheet name="KOA-fm-HS" sheetId="8" r:id="rId18"/>
    <sheet name="KOA-ha-ES" sheetId="5" r:id="rId19"/>
    <sheet name="KOA-ha-HS" sheetId="9" r:id="rId20"/>
    <sheet name="Struktur-ES" sheetId="11" r:id="rId21"/>
    <sheet name="Struktur-HS" sheetId="10" r:id="rId22"/>
    <sheet name="Verm-ha-ES" sheetId="12" r:id="rId23"/>
    <sheet name="Zusatz" sheetId="24" r:id="rId24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D2" i="13" l="1"/>
  <c r="J209" i="1"/>
  <c r="I209" i="1"/>
  <c r="H209" i="1"/>
  <c r="G209" i="1"/>
  <c r="F209" i="1"/>
  <c r="E209" i="1"/>
  <c r="D209" i="1"/>
  <c r="C209" i="1"/>
  <c r="B209" i="1"/>
  <c r="A209" i="1"/>
  <c r="I32" i="25" l="1"/>
  <c r="G33" i="6"/>
  <c r="E33" i="6"/>
  <c r="D2" i="10"/>
  <c r="C1" i="24"/>
  <c r="D2" i="24"/>
  <c r="E4" i="24"/>
  <c r="F4" i="24"/>
  <c r="G4" i="24"/>
  <c r="H4" i="24"/>
  <c r="I4" i="24"/>
  <c r="J4" i="24"/>
  <c r="K4" i="24"/>
  <c r="L4" i="24"/>
  <c r="M4" i="24"/>
  <c r="N4" i="24"/>
  <c r="E5" i="24"/>
  <c r="F5" i="24"/>
  <c r="G5" i="24"/>
  <c r="H5" i="24"/>
  <c r="I5" i="24"/>
  <c r="J5" i="24"/>
  <c r="K5" i="24"/>
  <c r="L5" i="24"/>
  <c r="M5" i="24"/>
  <c r="N5" i="24"/>
  <c r="E6" i="24"/>
  <c r="F6" i="24"/>
  <c r="G6" i="24"/>
  <c r="H6" i="24"/>
  <c r="I6" i="24"/>
  <c r="J6" i="24"/>
  <c r="K6" i="24"/>
  <c r="L6" i="24"/>
  <c r="M6" i="24"/>
  <c r="N6" i="24"/>
  <c r="E7" i="24"/>
  <c r="F7" i="24"/>
  <c r="G7" i="24"/>
  <c r="H7" i="24"/>
  <c r="I7" i="24"/>
  <c r="J7" i="24"/>
  <c r="K7" i="24"/>
  <c r="L7" i="24"/>
  <c r="M7" i="24"/>
  <c r="N7" i="24"/>
  <c r="E8" i="24"/>
  <c r="F8" i="24"/>
  <c r="G8" i="24"/>
  <c r="H8" i="24"/>
  <c r="I8" i="24"/>
  <c r="J8" i="24"/>
  <c r="K8" i="24"/>
  <c r="L8" i="24"/>
  <c r="M8" i="24"/>
  <c r="N8" i="24"/>
  <c r="E9" i="24"/>
  <c r="F9" i="24"/>
  <c r="G9" i="24"/>
  <c r="H9" i="24"/>
  <c r="I9" i="24"/>
  <c r="J9" i="24"/>
  <c r="K9" i="24"/>
  <c r="L9" i="24"/>
  <c r="M9" i="24"/>
  <c r="N9" i="24"/>
  <c r="C14" i="24"/>
  <c r="D15" i="24"/>
  <c r="E18" i="24"/>
  <c r="F18" i="24" s="1"/>
  <c r="G18" i="24" s="1"/>
  <c r="H18" i="24" s="1"/>
  <c r="I18" i="24" s="1"/>
  <c r="J18" i="24" s="1"/>
  <c r="K18" i="24" s="1"/>
  <c r="L18" i="24" s="1"/>
  <c r="M18" i="24" s="1"/>
  <c r="N18" i="24" s="1"/>
  <c r="E20" i="24"/>
  <c r="F20" i="24"/>
  <c r="G20" i="24"/>
  <c r="H20" i="24"/>
  <c r="I20" i="24"/>
  <c r="J20" i="24"/>
  <c r="K20" i="24"/>
  <c r="L20" i="24"/>
  <c r="M20" i="24"/>
  <c r="N20" i="24"/>
  <c r="E21" i="24"/>
  <c r="F21" i="24"/>
  <c r="G21" i="24"/>
  <c r="H21" i="24"/>
  <c r="I21" i="24"/>
  <c r="J21" i="24"/>
  <c r="K21" i="24"/>
  <c r="L21" i="24"/>
  <c r="M21" i="24"/>
  <c r="N21" i="24"/>
  <c r="E22" i="24"/>
  <c r="F22" i="24"/>
  <c r="G22" i="24"/>
  <c r="H22" i="24"/>
  <c r="I22" i="24"/>
  <c r="J22" i="24"/>
  <c r="K22" i="24"/>
  <c r="L22" i="24"/>
  <c r="M22" i="24"/>
  <c r="N22" i="24"/>
  <c r="E23" i="24"/>
  <c r="F23" i="24"/>
  <c r="G23" i="24"/>
  <c r="H23" i="24"/>
  <c r="I23" i="24"/>
  <c r="J23" i="24"/>
  <c r="K23" i="24"/>
  <c r="L23" i="24"/>
  <c r="M23" i="24"/>
  <c r="N23" i="24"/>
  <c r="E24" i="24"/>
  <c r="F24" i="24"/>
  <c r="G24" i="24"/>
  <c r="H24" i="24"/>
  <c r="I24" i="24"/>
  <c r="J24" i="24"/>
  <c r="K24" i="24"/>
  <c r="L24" i="24"/>
  <c r="M24" i="24"/>
  <c r="N24" i="24"/>
  <c r="E25" i="24"/>
  <c r="F25" i="24"/>
  <c r="G25" i="24"/>
  <c r="H25" i="24"/>
  <c r="I25" i="24"/>
  <c r="J25" i="24"/>
  <c r="K25" i="24"/>
  <c r="L25" i="24"/>
  <c r="M25" i="24"/>
  <c r="N25" i="24"/>
  <c r="E29" i="24"/>
  <c r="F29" i="24"/>
  <c r="G29" i="24"/>
  <c r="H29" i="24"/>
  <c r="I29" i="24"/>
  <c r="J29" i="24"/>
  <c r="K29" i="24"/>
  <c r="L29" i="24"/>
  <c r="M29" i="24"/>
  <c r="N29" i="24"/>
  <c r="E30" i="24"/>
  <c r="F30" i="24"/>
  <c r="G30" i="24"/>
  <c r="H30" i="24"/>
  <c r="I30" i="24"/>
  <c r="J30" i="24"/>
  <c r="K30" i="24"/>
  <c r="L30" i="24"/>
  <c r="M30" i="24"/>
  <c r="N30" i="24"/>
  <c r="E31" i="24"/>
  <c r="F31" i="24"/>
  <c r="G31" i="24"/>
  <c r="H31" i="24"/>
  <c r="I31" i="24"/>
  <c r="J31" i="24"/>
  <c r="K31" i="24"/>
  <c r="L31" i="24"/>
  <c r="M31" i="24"/>
  <c r="N31" i="24"/>
  <c r="E32" i="24"/>
  <c r="F32" i="24"/>
  <c r="G32" i="24"/>
  <c r="H32" i="24"/>
  <c r="I32" i="24"/>
  <c r="J32" i="24"/>
  <c r="K32" i="24"/>
  <c r="L32" i="24"/>
  <c r="M32" i="24"/>
  <c r="N32" i="24"/>
  <c r="E33" i="24"/>
  <c r="F33" i="24"/>
  <c r="G33" i="24"/>
  <c r="H33" i="24"/>
  <c r="I33" i="24"/>
  <c r="J33" i="24"/>
  <c r="K33" i="24"/>
  <c r="L33" i="24"/>
  <c r="M33" i="24"/>
  <c r="N33" i="24"/>
  <c r="C1" i="12"/>
  <c r="D2" i="12"/>
  <c r="E5" i="12"/>
  <c r="F5" i="12" s="1"/>
  <c r="G5" i="12" s="1"/>
  <c r="H5" i="12" s="1"/>
  <c r="I5" i="12" s="1"/>
  <c r="J5" i="12" s="1"/>
  <c r="K5" i="12" s="1"/>
  <c r="L5" i="12" s="1"/>
  <c r="M5" i="12" s="1"/>
  <c r="N5" i="12" s="1"/>
  <c r="E7" i="12"/>
  <c r="F7" i="12"/>
  <c r="G7" i="12"/>
  <c r="H7" i="12"/>
  <c r="I7" i="12"/>
  <c r="J7" i="12"/>
  <c r="K7" i="12"/>
  <c r="L7" i="12"/>
  <c r="M7" i="12"/>
  <c r="N7" i="12"/>
  <c r="N9" i="12" s="1"/>
  <c r="E8" i="12"/>
  <c r="F8" i="12"/>
  <c r="G8" i="12"/>
  <c r="H8" i="12"/>
  <c r="H9" i="12" s="1"/>
  <c r="H17" i="12" s="1"/>
  <c r="I8" i="12"/>
  <c r="J8" i="12"/>
  <c r="K8" i="12"/>
  <c r="L8" i="12"/>
  <c r="M8" i="12"/>
  <c r="N8" i="12"/>
  <c r="E10" i="12"/>
  <c r="F10" i="12"/>
  <c r="G10" i="12"/>
  <c r="H10" i="12"/>
  <c r="I10" i="12"/>
  <c r="J10" i="12"/>
  <c r="K10" i="12"/>
  <c r="L10" i="12"/>
  <c r="M10" i="12"/>
  <c r="N10" i="12"/>
  <c r="E11" i="12"/>
  <c r="F11" i="12"/>
  <c r="G11" i="12"/>
  <c r="H11" i="12"/>
  <c r="H12" i="12" s="1"/>
  <c r="I11" i="12"/>
  <c r="J11" i="12"/>
  <c r="K11" i="12"/>
  <c r="L11" i="12"/>
  <c r="M11" i="12"/>
  <c r="N11" i="12"/>
  <c r="E24" i="12"/>
  <c r="F24" i="12"/>
  <c r="G24" i="12"/>
  <c r="H24" i="12"/>
  <c r="I24" i="12"/>
  <c r="J24" i="12"/>
  <c r="K24" i="12"/>
  <c r="L24" i="12"/>
  <c r="M24" i="12"/>
  <c r="N24" i="12"/>
  <c r="E25" i="12"/>
  <c r="F25" i="12"/>
  <c r="G25" i="12"/>
  <c r="H25" i="12"/>
  <c r="I25" i="12"/>
  <c r="J25" i="12"/>
  <c r="K25" i="12"/>
  <c r="L25" i="12"/>
  <c r="M25" i="12"/>
  <c r="N25" i="12"/>
  <c r="E26" i="12"/>
  <c r="F26" i="12"/>
  <c r="G26" i="12"/>
  <c r="H26" i="12"/>
  <c r="I26" i="12"/>
  <c r="J26" i="12"/>
  <c r="K26" i="12"/>
  <c r="L26" i="12"/>
  <c r="M26" i="12"/>
  <c r="N26" i="12"/>
  <c r="E27" i="12"/>
  <c r="F27" i="12"/>
  <c r="G27" i="12"/>
  <c r="H27" i="12"/>
  <c r="I27" i="12"/>
  <c r="J27" i="12"/>
  <c r="K27" i="12"/>
  <c r="L27" i="12"/>
  <c r="M27" i="12"/>
  <c r="N27" i="12"/>
  <c r="E28" i="12"/>
  <c r="F28" i="12"/>
  <c r="G28" i="12"/>
  <c r="H28" i="12"/>
  <c r="I28" i="12"/>
  <c r="J28" i="12"/>
  <c r="K28" i="12"/>
  <c r="L28" i="12"/>
  <c r="M28" i="12"/>
  <c r="N28" i="12"/>
  <c r="E31" i="12"/>
  <c r="F31" i="12"/>
  <c r="G31" i="12"/>
  <c r="H31" i="12"/>
  <c r="I31" i="12"/>
  <c r="J31" i="12"/>
  <c r="K31" i="12"/>
  <c r="L31" i="12"/>
  <c r="M31" i="12"/>
  <c r="N31" i="12"/>
  <c r="E32" i="12"/>
  <c r="F32" i="12"/>
  <c r="G32" i="12"/>
  <c r="H32" i="12"/>
  <c r="I32" i="12"/>
  <c r="J32" i="12"/>
  <c r="K32" i="12"/>
  <c r="L32" i="12"/>
  <c r="M32" i="12"/>
  <c r="N32" i="12"/>
  <c r="E33" i="12"/>
  <c r="F33" i="12"/>
  <c r="G33" i="12"/>
  <c r="H33" i="12"/>
  <c r="I33" i="12"/>
  <c r="J33" i="12"/>
  <c r="K33" i="12"/>
  <c r="L33" i="12"/>
  <c r="M33" i="12"/>
  <c r="N33" i="12"/>
  <c r="E34" i="12"/>
  <c r="F34" i="12"/>
  <c r="G34" i="12"/>
  <c r="H34" i="12"/>
  <c r="I34" i="12"/>
  <c r="J34" i="12"/>
  <c r="K34" i="12"/>
  <c r="L34" i="12"/>
  <c r="M34" i="12"/>
  <c r="N34" i="12"/>
  <c r="E35" i="12"/>
  <c r="F35" i="12"/>
  <c r="G35" i="12"/>
  <c r="H35" i="12"/>
  <c r="I35" i="12"/>
  <c r="J35" i="12"/>
  <c r="K35" i="12"/>
  <c r="L35" i="12"/>
  <c r="M35" i="12"/>
  <c r="N35" i="12"/>
  <c r="E38" i="12"/>
  <c r="F38" i="12"/>
  <c r="G38" i="12"/>
  <c r="H38" i="12"/>
  <c r="I38" i="12"/>
  <c r="J38" i="12"/>
  <c r="K38" i="12"/>
  <c r="L38" i="12"/>
  <c r="M38" i="12"/>
  <c r="N38" i="12"/>
  <c r="E39" i="12"/>
  <c r="F39" i="12"/>
  <c r="G39" i="12"/>
  <c r="H39" i="12"/>
  <c r="I39" i="12"/>
  <c r="J39" i="12"/>
  <c r="K39" i="12"/>
  <c r="L39" i="12"/>
  <c r="M39" i="12"/>
  <c r="N39" i="12"/>
  <c r="E40" i="12"/>
  <c r="F40" i="12"/>
  <c r="G40" i="12"/>
  <c r="H40" i="12"/>
  <c r="I40" i="12"/>
  <c r="J40" i="12"/>
  <c r="K40" i="12"/>
  <c r="L40" i="12"/>
  <c r="M40" i="12"/>
  <c r="N40" i="12"/>
  <c r="E41" i="12"/>
  <c r="F41" i="12"/>
  <c r="G41" i="12"/>
  <c r="H41" i="12"/>
  <c r="I41" i="12"/>
  <c r="J41" i="12"/>
  <c r="K41" i="12"/>
  <c r="L41" i="12"/>
  <c r="M41" i="12"/>
  <c r="N41" i="12"/>
  <c r="E42" i="12"/>
  <c r="F42" i="12"/>
  <c r="G42" i="12"/>
  <c r="H42" i="12"/>
  <c r="I42" i="12"/>
  <c r="J42" i="12"/>
  <c r="K42" i="12"/>
  <c r="L42" i="12"/>
  <c r="M42" i="12"/>
  <c r="N42" i="12"/>
  <c r="C1" i="10"/>
  <c r="E5" i="10"/>
  <c r="F5" i="10" s="1"/>
  <c r="G5" i="10" s="1"/>
  <c r="H5" i="10" s="1"/>
  <c r="I5" i="10" s="1"/>
  <c r="J5" i="10" s="1"/>
  <c r="K5" i="10" s="1"/>
  <c r="L5" i="10" s="1"/>
  <c r="M5" i="10" s="1"/>
  <c r="N5" i="10" s="1"/>
  <c r="C1" i="11"/>
  <c r="D2" i="11"/>
  <c r="E5" i="11"/>
  <c r="F5" i="11" s="1"/>
  <c r="G5" i="11" s="1"/>
  <c r="H5" i="11" s="1"/>
  <c r="I5" i="11" s="1"/>
  <c r="J5" i="11" s="1"/>
  <c r="K5" i="11" s="1"/>
  <c r="L5" i="11" s="1"/>
  <c r="M5" i="11" s="1"/>
  <c r="N5" i="11" s="1"/>
  <c r="C1" i="9"/>
  <c r="E5" i="9"/>
  <c r="F5" i="9" s="1"/>
  <c r="G5" i="9" s="1"/>
  <c r="H5" i="9" s="1"/>
  <c r="I5" i="9" s="1"/>
  <c r="J5" i="9" s="1"/>
  <c r="K5" i="9" s="1"/>
  <c r="L5" i="9" s="1"/>
  <c r="M5" i="9" s="1"/>
  <c r="N5" i="9" s="1"/>
  <c r="E7" i="9"/>
  <c r="F7" i="9"/>
  <c r="G7" i="9"/>
  <c r="H7" i="9"/>
  <c r="I7" i="9"/>
  <c r="J7" i="9"/>
  <c r="K7" i="9"/>
  <c r="L7" i="9"/>
  <c r="M7" i="9"/>
  <c r="N7" i="9"/>
  <c r="E8" i="9"/>
  <c r="F8" i="9"/>
  <c r="G8" i="9"/>
  <c r="H8" i="9"/>
  <c r="I8" i="9"/>
  <c r="J8" i="9"/>
  <c r="K8" i="9"/>
  <c r="L8" i="9"/>
  <c r="M8" i="9"/>
  <c r="N8" i="9"/>
  <c r="E9" i="9"/>
  <c r="F9" i="9"/>
  <c r="G9" i="9"/>
  <c r="H9" i="9"/>
  <c r="I9" i="9"/>
  <c r="J9" i="9"/>
  <c r="K9" i="9"/>
  <c r="L9" i="9"/>
  <c r="M9" i="9"/>
  <c r="N9" i="9"/>
  <c r="E12" i="9"/>
  <c r="F12" i="9"/>
  <c r="G12" i="9"/>
  <c r="H12" i="9"/>
  <c r="I12" i="9"/>
  <c r="J12" i="9"/>
  <c r="K12" i="9"/>
  <c r="L12" i="9"/>
  <c r="M12" i="9"/>
  <c r="N12" i="9"/>
  <c r="E13" i="9"/>
  <c r="F13" i="9"/>
  <c r="G13" i="9"/>
  <c r="H13" i="9"/>
  <c r="I13" i="9"/>
  <c r="J13" i="9"/>
  <c r="K13" i="9"/>
  <c r="L13" i="9"/>
  <c r="M13" i="9"/>
  <c r="N13" i="9"/>
  <c r="E14" i="9"/>
  <c r="F14" i="9"/>
  <c r="G14" i="9"/>
  <c r="H14" i="9"/>
  <c r="I14" i="9"/>
  <c r="J14" i="9"/>
  <c r="K14" i="9"/>
  <c r="L14" i="9"/>
  <c r="M14" i="9"/>
  <c r="N14" i="9"/>
  <c r="E17" i="9"/>
  <c r="E19" i="9" s="1"/>
  <c r="F17" i="9"/>
  <c r="G17" i="9"/>
  <c r="H17" i="9"/>
  <c r="I17" i="9"/>
  <c r="J17" i="9"/>
  <c r="K17" i="9"/>
  <c r="L17" i="9"/>
  <c r="M17" i="9"/>
  <c r="N17" i="9"/>
  <c r="E18" i="9"/>
  <c r="F18" i="9"/>
  <c r="G18" i="9"/>
  <c r="G19" i="9" s="1"/>
  <c r="H18" i="9"/>
  <c r="I18" i="9"/>
  <c r="J18" i="9"/>
  <c r="K18" i="9"/>
  <c r="L18" i="9"/>
  <c r="M18" i="9"/>
  <c r="N18" i="9"/>
  <c r="E21" i="9"/>
  <c r="F21" i="9"/>
  <c r="G21" i="9"/>
  <c r="H21" i="9"/>
  <c r="I21" i="9"/>
  <c r="J21" i="9"/>
  <c r="K21" i="9"/>
  <c r="L21" i="9"/>
  <c r="M21" i="9"/>
  <c r="N21" i="9"/>
  <c r="E22" i="9"/>
  <c r="F22" i="9"/>
  <c r="G22" i="9"/>
  <c r="H22" i="9"/>
  <c r="I22" i="9"/>
  <c r="J22" i="9"/>
  <c r="K22" i="9"/>
  <c r="L22" i="9"/>
  <c r="M22" i="9"/>
  <c r="N22" i="9"/>
  <c r="E23" i="9"/>
  <c r="F23" i="9"/>
  <c r="G23" i="9"/>
  <c r="H23" i="9"/>
  <c r="I23" i="9"/>
  <c r="J23" i="9"/>
  <c r="K23" i="9"/>
  <c r="L23" i="9"/>
  <c r="M23" i="9"/>
  <c r="N23" i="9"/>
  <c r="E24" i="9"/>
  <c r="F24" i="9"/>
  <c r="G24" i="9"/>
  <c r="H24" i="9"/>
  <c r="I24" i="9"/>
  <c r="J24" i="9"/>
  <c r="K24" i="9"/>
  <c r="L24" i="9"/>
  <c r="M24" i="9"/>
  <c r="N24" i="9"/>
  <c r="E25" i="9"/>
  <c r="F25" i="9"/>
  <c r="G25" i="9"/>
  <c r="H25" i="9"/>
  <c r="I25" i="9"/>
  <c r="J25" i="9"/>
  <c r="K25" i="9"/>
  <c r="L25" i="9"/>
  <c r="M25" i="9"/>
  <c r="N25" i="9"/>
  <c r="E28" i="9"/>
  <c r="F28" i="9"/>
  <c r="G28" i="9"/>
  <c r="H28" i="9"/>
  <c r="I28" i="9"/>
  <c r="J28" i="9"/>
  <c r="K28" i="9"/>
  <c r="L28" i="9"/>
  <c r="M28" i="9"/>
  <c r="N28" i="9"/>
  <c r="E29" i="9"/>
  <c r="F29" i="9"/>
  <c r="G29" i="9"/>
  <c r="H29" i="9"/>
  <c r="I29" i="9"/>
  <c r="J29" i="9"/>
  <c r="K29" i="9"/>
  <c r="L29" i="9"/>
  <c r="M29" i="9"/>
  <c r="N29" i="9"/>
  <c r="E32" i="9"/>
  <c r="F32" i="9"/>
  <c r="G32" i="9"/>
  <c r="H32" i="9"/>
  <c r="I32" i="9"/>
  <c r="J32" i="9"/>
  <c r="K32" i="9"/>
  <c r="L32" i="9"/>
  <c r="M32" i="9"/>
  <c r="N32" i="9"/>
  <c r="E33" i="9"/>
  <c r="F33" i="9"/>
  <c r="G33" i="9"/>
  <c r="H33" i="9"/>
  <c r="I33" i="9"/>
  <c r="J33" i="9"/>
  <c r="K33" i="9"/>
  <c r="L33" i="9"/>
  <c r="M33" i="9"/>
  <c r="N33" i="9"/>
  <c r="E34" i="9"/>
  <c r="F34" i="9"/>
  <c r="G34" i="9"/>
  <c r="H34" i="9"/>
  <c r="I34" i="9"/>
  <c r="J34" i="9"/>
  <c r="K34" i="9"/>
  <c r="L34" i="9"/>
  <c r="M34" i="9"/>
  <c r="N34" i="9"/>
  <c r="E35" i="9"/>
  <c r="F35" i="9"/>
  <c r="G35" i="9"/>
  <c r="H35" i="9"/>
  <c r="I35" i="9"/>
  <c r="J35" i="9"/>
  <c r="K35" i="9"/>
  <c r="L35" i="9"/>
  <c r="M35" i="9"/>
  <c r="N35" i="9"/>
  <c r="E38" i="9"/>
  <c r="F38" i="9"/>
  <c r="G38" i="9"/>
  <c r="H38" i="9"/>
  <c r="I38" i="9"/>
  <c r="J38" i="9"/>
  <c r="K38" i="9"/>
  <c r="L38" i="9"/>
  <c r="M38" i="9"/>
  <c r="N38" i="9"/>
  <c r="C1" i="5"/>
  <c r="D2" i="5"/>
  <c r="E5" i="5"/>
  <c r="F5" i="5" s="1"/>
  <c r="G5" i="5" s="1"/>
  <c r="H5" i="5" s="1"/>
  <c r="I5" i="5" s="1"/>
  <c r="J5" i="5" s="1"/>
  <c r="K5" i="5" s="1"/>
  <c r="L5" i="5" s="1"/>
  <c r="M5" i="5" s="1"/>
  <c r="N5" i="5" s="1"/>
  <c r="E7" i="5"/>
  <c r="F7" i="5"/>
  <c r="G7" i="5"/>
  <c r="H7" i="5"/>
  <c r="I7" i="5"/>
  <c r="J7" i="5"/>
  <c r="K7" i="5"/>
  <c r="L7" i="5"/>
  <c r="M7" i="5"/>
  <c r="N7" i="5"/>
  <c r="E8" i="5"/>
  <c r="F8" i="5"/>
  <c r="G8" i="5"/>
  <c r="H8" i="5"/>
  <c r="H10" i="5" s="1"/>
  <c r="I8" i="5"/>
  <c r="J8" i="5"/>
  <c r="K8" i="5"/>
  <c r="L8" i="5"/>
  <c r="M8" i="5"/>
  <c r="N8" i="5"/>
  <c r="E9" i="5"/>
  <c r="F9" i="5"/>
  <c r="G9" i="5"/>
  <c r="H9" i="5"/>
  <c r="I9" i="5"/>
  <c r="J9" i="5"/>
  <c r="K9" i="5"/>
  <c r="L9" i="5"/>
  <c r="M9" i="5"/>
  <c r="N9" i="5"/>
  <c r="E12" i="5"/>
  <c r="F12" i="5"/>
  <c r="G12" i="5"/>
  <c r="H12" i="5"/>
  <c r="I12" i="5"/>
  <c r="J12" i="5"/>
  <c r="K12" i="5"/>
  <c r="L12" i="5"/>
  <c r="M12" i="5"/>
  <c r="N12" i="5"/>
  <c r="E13" i="5"/>
  <c r="F13" i="5"/>
  <c r="G13" i="5"/>
  <c r="H13" i="5"/>
  <c r="I13" i="5"/>
  <c r="J13" i="5"/>
  <c r="K13" i="5"/>
  <c r="L13" i="5"/>
  <c r="M13" i="5"/>
  <c r="N13" i="5"/>
  <c r="E14" i="5"/>
  <c r="F14" i="5"/>
  <c r="G14" i="5"/>
  <c r="H14" i="5"/>
  <c r="I14" i="5"/>
  <c r="J14" i="5"/>
  <c r="K14" i="5"/>
  <c r="L14" i="5"/>
  <c r="M14" i="5"/>
  <c r="N14" i="5"/>
  <c r="E17" i="5"/>
  <c r="F17" i="5"/>
  <c r="G17" i="5"/>
  <c r="H17" i="5"/>
  <c r="I17" i="5"/>
  <c r="J17" i="5"/>
  <c r="K17" i="5"/>
  <c r="L17" i="5"/>
  <c r="M17" i="5"/>
  <c r="N17" i="5"/>
  <c r="N19" i="5" s="1"/>
  <c r="E18" i="5"/>
  <c r="F18" i="5"/>
  <c r="G18" i="5"/>
  <c r="H18" i="5"/>
  <c r="H19" i="5" s="1"/>
  <c r="I18" i="5"/>
  <c r="J18" i="5"/>
  <c r="K18" i="5"/>
  <c r="L18" i="5"/>
  <c r="M18" i="5"/>
  <c r="N18" i="5"/>
  <c r="E21" i="5"/>
  <c r="F21" i="5"/>
  <c r="G21" i="5"/>
  <c r="H21" i="5"/>
  <c r="I21" i="5"/>
  <c r="J21" i="5"/>
  <c r="K21" i="5"/>
  <c r="L21" i="5"/>
  <c r="M21" i="5"/>
  <c r="N21" i="5"/>
  <c r="E22" i="5"/>
  <c r="F22" i="5"/>
  <c r="G22" i="5"/>
  <c r="H22" i="5"/>
  <c r="I22" i="5"/>
  <c r="J22" i="5"/>
  <c r="K22" i="5"/>
  <c r="L22" i="5"/>
  <c r="M22" i="5"/>
  <c r="N22" i="5"/>
  <c r="E23" i="5"/>
  <c r="F23" i="5"/>
  <c r="G23" i="5"/>
  <c r="H23" i="5"/>
  <c r="I23" i="5"/>
  <c r="J23" i="5"/>
  <c r="K23" i="5"/>
  <c r="L23" i="5"/>
  <c r="M23" i="5"/>
  <c r="N23" i="5"/>
  <c r="E24" i="5"/>
  <c r="F24" i="5"/>
  <c r="G24" i="5"/>
  <c r="H24" i="5"/>
  <c r="I24" i="5"/>
  <c r="J24" i="5"/>
  <c r="K24" i="5"/>
  <c r="L24" i="5"/>
  <c r="M24" i="5"/>
  <c r="N24" i="5"/>
  <c r="E25" i="5"/>
  <c r="F25" i="5"/>
  <c r="G25" i="5"/>
  <c r="H25" i="5"/>
  <c r="I25" i="5"/>
  <c r="J25" i="5"/>
  <c r="K25" i="5"/>
  <c r="L25" i="5"/>
  <c r="M25" i="5"/>
  <c r="N25" i="5"/>
  <c r="E28" i="5"/>
  <c r="F28" i="5"/>
  <c r="G28" i="5"/>
  <c r="H28" i="5"/>
  <c r="I28" i="5"/>
  <c r="J28" i="5"/>
  <c r="K28" i="5"/>
  <c r="L28" i="5"/>
  <c r="L30" i="5" s="1"/>
  <c r="M28" i="5"/>
  <c r="N28" i="5"/>
  <c r="E29" i="5"/>
  <c r="F29" i="5"/>
  <c r="G29" i="5"/>
  <c r="H29" i="5"/>
  <c r="I29" i="5"/>
  <c r="J29" i="5"/>
  <c r="K29" i="5"/>
  <c r="L29" i="5"/>
  <c r="M29" i="5"/>
  <c r="N29" i="5"/>
  <c r="E32" i="5"/>
  <c r="F32" i="5"/>
  <c r="G32" i="5"/>
  <c r="H32" i="5"/>
  <c r="I32" i="5"/>
  <c r="J32" i="5"/>
  <c r="K32" i="5"/>
  <c r="L32" i="5"/>
  <c r="M32" i="5"/>
  <c r="N32" i="5"/>
  <c r="E33" i="5"/>
  <c r="F33" i="5"/>
  <c r="G33" i="5"/>
  <c r="H33" i="5"/>
  <c r="I33" i="5"/>
  <c r="J33" i="5"/>
  <c r="K33" i="5"/>
  <c r="L33" i="5"/>
  <c r="M33" i="5"/>
  <c r="N33" i="5"/>
  <c r="E34" i="5"/>
  <c r="F34" i="5"/>
  <c r="G34" i="5"/>
  <c r="H34" i="5"/>
  <c r="I34" i="5"/>
  <c r="J34" i="5"/>
  <c r="K34" i="5"/>
  <c r="L34" i="5"/>
  <c r="M34" i="5"/>
  <c r="N34" i="5"/>
  <c r="E35" i="5"/>
  <c r="F35" i="5"/>
  <c r="G35" i="5"/>
  <c r="H35" i="5"/>
  <c r="I35" i="5"/>
  <c r="J35" i="5"/>
  <c r="K35" i="5"/>
  <c r="L35" i="5"/>
  <c r="M35" i="5"/>
  <c r="N35" i="5"/>
  <c r="E38" i="5"/>
  <c r="F38" i="5"/>
  <c r="G38" i="5"/>
  <c r="H38" i="5"/>
  <c r="I38" i="5"/>
  <c r="J38" i="5"/>
  <c r="K38" i="5"/>
  <c r="L38" i="5"/>
  <c r="M38" i="5"/>
  <c r="N38" i="5"/>
  <c r="C1" i="8"/>
  <c r="D2" i="8"/>
  <c r="E5" i="8"/>
  <c r="F5" i="8" s="1"/>
  <c r="G5" i="8" s="1"/>
  <c r="H5" i="8" s="1"/>
  <c r="I5" i="8" s="1"/>
  <c r="J5" i="8" s="1"/>
  <c r="K5" i="8" s="1"/>
  <c r="L5" i="8" s="1"/>
  <c r="M5" i="8" s="1"/>
  <c r="N5" i="8" s="1"/>
  <c r="E7" i="8"/>
  <c r="F7" i="8"/>
  <c r="G7" i="8"/>
  <c r="H7" i="8"/>
  <c r="I7" i="8"/>
  <c r="J7" i="8"/>
  <c r="K7" i="8"/>
  <c r="L7" i="8"/>
  <c r="M7" i="8"/>
  <c r="N7" i="8"/>
  <c r="E8" i="8"/>
  <c r="E10" i="8" s="1"/>
  <c r="F8" i="8"/>
  <c r="G8" i="8"/>
  <c r="H8" i="8"/>
  <c r="I8" i="8"/>
  <c r="J8" i="8"/>
  <c r="K8" i="8"/>
  <c r="L8" i="8"/>
  <c r="M8" i="8"/>
  <c r="N8" i="8"/>
  <c r="E9" i="8"/>
  <c r="F9" i="8"/>
  <c r="G9" i="8"/>
  <c r="H9" i="8"/>
  <c r="I9" i="8"/>
  <c r="J9" i="8"/>
  <c r="K9" i="8"/>
  <c r="L9" i="8"/>
  <c r="M9" i="8"/>
  <c r="N9" i="8"/>
  <c r="E12" i="8"/>
  <c r="F12" i="8"/>
  <c r="G12" i="8"/>
  <c r="H12" i="8"/>
  <c r="I12" i="8"/>
  <c r="J12" i="8"/>
  <c r="K12" i="8"/>
  <c r="L12" i="8"/>
  <c r="M12" i="8"/>
  <c r="N12" i="8"/>
  <c r="E13" i="8"/>
  <c r="F13" i="8"/>
  <c r="G13" i="8"/>
  <c r="H13" i="8"/>
  <c r="I13" i="8"/>
  <c r="J13" i="8"/>
  <c r="K13" i="8"/>
  <c r="L13" i="8"/>
  <c r="M13" i="8"/>
  <c r="N13" i="8"/>
  <c r="E14" i="8"/>
  <c r="F14" i="8"/>
  <c r="G14" i="8"/>
  <c r="H14" i="8"/>
  <c r="I14" i="8"/>
  <c r="J14" i="8"/>
  <c r="K14" i="8"/>
  <c r="L14" i="8"/>
  <c r="M14" i="8"/>
  <c r="N14" i="8"/>
  <c r="E17" i="8"/>
  <c r="F17" i="8"/>
  <c r="G17" i="8"/>
  <c r="H17" i="8"/>
  <c r="I17" i="8"/>
  <c r="J17" i="8"/>
  <c r="K17" i="8"/>
  <c r="K19" i="8" s="1"/>
  <c r="L17" i="8"/>
  <c r="M17" i="8"/>
  <c r="N17" i="8"/>
  <c r="E18" i="8"/>
  <c r="F18" i="8"/>
  <c r="G18" i="8"/>
  <c r="H18" i="8"/>
  <c r="I18" i="8"/>
  <c r="J18" i="8"/>
  <c r="K18" i="8"/>
  <c r="L18" i="8"/>
  <c r="M18" i="8"/>
  <c r="N18" i="8"/>
  <c r="E21" i="8"/>
  <c r="F21" i="8"/>
  <c r="G21" i="8"/>
  <c r="H21" i="8"/>
  <c r="I21" i="8"/>
  <c r="J21" i="8"/>
  <c r="K21" i="8"/>
  <c r="L21" i="8"/>
  <c r="M21" i="8"/>
  <c r="N21" i="8"/>
  <c r="E22" i="8"/>
  <c r="F22" i="8"/>
  <c r="G22" i="8"/>
  <c r="H22" i="8"/>
  <c r="I22" i="8"/>
  <c r="J22" i="8"/>
  <c r="K22" i="8"/>
  <c r="L22" i="8"/>
  <c r="M22" i="8"/>
  <c r="N22" i="8"/>
  <c r="E23" i="8"/>
  <c r="F23" i="8"/>
  <c r="G23" i="8"/>
  <c r="H23" i="8"/>
  <c r="I23" i="8"/>
  <c r="J23" i="8"/>
  <c r="K23" i="8"/>
  <c r="L23" i="8"/>
  <c r="M23" i="8"/>
  <c r="N23" i="8"/>
  <c r="E24" i="8"/>
  <c r="F24" i="8"/>
  <c r="G24" i="8"/>
  <c r="H24" i="8"/>
  <c r="I24" i="8"/>
  <c r="J24" i="8"/>
  <c r="K24" i="8"/>
  <c r="L24" i="8"/>
  <c r="M24" i="8"/>
  <c r="N24" i="8"/>
  <c r="E25" i="8"/>
  <c r="F25" i="8"/>
  <c r="G25" i="8"/>
  <c r="H25" i="8"/>
  <c r="I25" i="8"/>
  <c r="J25" i="8"/>
  <c r="K25" i="8"/>
  <c r="L25" i="8"/>
  <c r="M25" i="8"/>
  <c r="N25" i="8"/>
  <c r="E28" i="8"/>
  <c r="F28" i="8"/>
  <c r="G28" i="8"/>
  <c r="H28" i="8"/>
  <c r="I28" i="8"/>
  <c r="J28" i="8"/>
  <c r="K28" i="8"/>
  <c r="L28" i="8"/>
  <c r="M28" i="8"/>
  <c r="N28" i="8"/>
  <c r="E29" i="8"/>
  <c r="F29" i="8"/>
  <c r="G29" i="8"/>
  <c r="H29" i="8"/>
  <c r="I29" i="8"/>
  <c r="J29" i="8"/>
  <c r="J30" i="8" s="1"/>
  <c r="K29" i="8"/>
  <c r="L29" i="8"/>
  <c r="M29" i="8"/>
  <c r="N29" i="8"/>
  <c r="E32" i="8"/>
  <c r="F32" i="8"/>
  <c r="G32" i="8"/>
  <c r="H32" i="8"/>
  <c r="I32" i="8"/>
  <c r="J32" i="8"/>
  <c r="K32" i="8"/>
  <c r="L32" i="8"/>
  <c r="M32" i="8"/>
  <c r="N32" i="8"/>
  <c r="E33" i="8"/>
  <c r="F33" i="8"/>
  <c r="G33" i="8"/>
  <c r="H33" i="8"/>
  <c r="I33" i="8"/>
  <c r="J33" i="8"/>
  <c r="K33" i="8"/>
  <c r="L33" i="8"/>
  <c r="M33" i="8"/>
  <c r="N33" i="8"/>
  <c r="E34" i="8"/>
  <c r="F34" i="8"/>
  <c r="G34" i="8"/>
  <c r="H34" i="8"/>
  <c r="I34" i="8"/>
  <c r="J34" i="8"/>
  <c r="K34" i="8"/>
  <c r="L34" i="8"/>
  <c r="M34" i="8"/>
  <c r="N34" i="8"/>
  <c r="E35" i="8"/>
  <c r="F35" i="8"/>
  <c r="G35" i="8"/>
  <c r="H35" i="8"/>
  <c r="I35" i="8"/>
  <c r="J35" i="8"/>
  <c r="K35" i="8"/>
  <c r="L35" i="8"/>
  <c r="M35" i="8"/>
  <c r="N35" i="8"/>
  <c r="E38" i="8"/>
  <c r="F38" i="8"/>
  <c r="G38" i="8"/>
  <c r="H38" i="8"/>
  <c r="I38" i="8"/>
  <c r="J38" i="8"/>
  <c r="K38" i="8"/>
  <c r="L38" i="8"/>
  <c r="M38" i="8"/>
  <c r="N38" i="8"/>
  <c r="C1" i="4"/>
  <c r="E5" i="4"/>
  <c r="F5" i="4" s="1"/>
  <c r="G5" i="4" s="1"/>
  <c r="H5" i="4" s="1"/>
  <c r="I5" i="4" s="1"/>
  <c r="J5" i="4" s="1"/>
  <c r="K5" i="4" s="1"/>
  <c r="L5" i="4" s="1"/>
  <c r="M5" i="4" s="1"/>
  <c r="N5" i="4" s="1"/>
  <c r="E7" i="4"/>
  <c r="F7" i="4"/>
  <c r="G7" i="4"/>
  <c r="H7" i="4"/>
  <c r="I7" i="4"/>
  <c r="J7" i="4"/>
  <c r="K7" i="4"/>
  <c r="L7" i="4"/>
  <c r="M7" i="4"/>
  <c r="N7" i="4"/>
  <c r="E8" i="4"/>
  <c r="F8" i="4"/>
  <c r="F10" i="4" s="1"/>
  <c r="G8" i="4"/>
  <c r="G10" i="4" s="1"/>
  <c r="H8" i="4"/>
  <c r="I8" i="4"/>
  <c r="J8" i="4"/>
  <c r="K8" i="4"/>
  <c r="L8" i="4"/>
  <c r="M8" i="4"/>
  <c r="N8" i="4"/>
  <c r="E9" i="4"/>
  <c r="F9" i="4"/>
  <c r="G9" i="4"/>
  <c r="H9" i="4"/>
  <c r="I9" i="4"/>
  <c r="J9" i="4"/>
  <c r="K9" i="4"/>
  <c r="L9" i="4"/>
  <c r="M9" i="4"/>
  <c r="N9" i="4"/>
  <c r="E12" i="4"/>
  <c r="F12" i="4"/>
  <c r="G12" i="4"/>
  <c r="H12" i="4"/>
  <c r="I12" i="4"/>
  <c r="J12" i="4"/>
  <c r="K12" i="4"/>
  <c r="L12" i="4"/>
  <c r="M12" i="4"/>
  <c r="N12" i="4"/>
  <c r="E13" i="4"/>
  <c r="F13" i="4"/>
  <c r="G13" i="4"/>
  <c r="H13" i="4"/>
  <c r="I13" i="4"/>
  <c r="I15" i="4" s="1"/>
  <c r="J13" i="4"/>
  <c r="K13" i="4"/>
  <c r="L13" i="4"/>
  <c r="M13" i="4"/>
  <c r="N13" i="4"/>
  <c r="E14" i="4"/>
  <c r="F14" i="4"/>
  <c r="G14" i="4"/>
  <c r="H14" i="4"/>
  <c r="I14" i="4"/>
  <c r="J14" i="4"/>
  <c r="K14" i="4"/>
  <c r="L14" i="4"/>
  <c r="M14" i="4"/>
  <c r="N14" i="4"/>
  <c r="E17" i="4"/>
  <c r="F17" i="4"/>
  <c r="G17" i="4"/>
  <c r="H17" i="4"/>
  <c r="H19" i="4" s="1"/>
  <c r="I17" i="4"/>
  <c r="J17" i="4"/>
  <c r="K17" i="4"/>
  <c r="L17" i="4"/>
  <c r="L19" i="4" s="1"/>
  <c r="M17" i="4"/>
  <c r="N17" i="4"/>
  <c r="E18" i="4"/>
  <c r="F18" i="4"/>
  <c r="G18" i="4"/>
  <c r="H18" i="4"/>
  <c r="I18" i="4"/>
  <c r="J18" i="4"/>
  <c r="K18" i="4"/>
  <c r="L18" i="4"/>
  <c r="M18" i="4"/>
  <c r="N18" i="4"/>
  <c r="E21" i="4"/>
  <c r="F21" i="4"/>
  <c r="G21" i="4"/>
  <c r="H21" i="4"/>
  <c r="I21" i="4"/>
  <c r="J21" i="4"/>
  <c r="K21" i="4"/>
  <c r="L21" i="4"/>
  <c r="M21" i="4"/>
  <c r="N21" i="4"/>
  <c r="E22" i="4"/>
  <c r="F22" i="4"/>
  <c r="G22" i="4"/>
  <c r="H22" i="4"/>
  <c r="I22" i="4"/>
  <c r="J22" i="4"/>
  <c r="K22" i="4"/>
  <c r="L22" i="4"/>
  <c r="M22" i="4"/>
  <c r="N22" i="4"/>
  <c r="E23" i="4"/>
  <c r="F23" i="4"/>
  <c r="G23" i="4"/>
  <c r="H23" i="4"/>
  <c r="I23" i="4"/>
  <c r="J23" i="4"/>
  <c r="K23" i="4"/>
  <c r="L23" i="4"/>
  <c r="M23" i="4"/>
  <c r="N23" i="4"/>
  <c r="E24" i="4"/>
  <c r="F24" i="4"/>
  <c r="G24" i="4"/>
  <c r="H24" i="4"/>
  <c r="I24" i="4"/>
  <c r="J24" i="4"/>
  <c r="K24" i="4"/>
  <c r="L24" i="4"/>
  <c r="M24" i="4"/>
  <c r="N24" i="4"/>
  <c r="E25" i="4"/>
  <c r="F25" i="4"/>
  <c r="G25" i="4"/>
  <c r="H25" i="4"/>
  <c r="I25" i="4"/>
  <c r="J25" i="4"/>
  <c r="K25" i="4"/>
  <c r="L25" i="4"/>
  <c r="M25" i="4"/>
  <c r="N25" i="4"/>
  <c r="E28" i="4"/>
  <c r="F28" i="4"/>
  <c r="F30" i="4" s="1"/>
  <c r="G28" i="4"/>
  <c r="H28" i="4"/>
  <c r="I28" i="4"/>
  <c r="J28" i="4"/>
  <c r="K28" i="4"/>
  <c r="L28" i="4"/>
  <c r="M28" i="4"/>
  <c r="N28" i="4"/>
  <c r="E29" i="4"/>
  <c r="F29" i="4"/>
  <c r="G29" i="4"/>
  <c r="H29" i="4"/>
  <c r="H30" i="4" s="1"/>
  <c r="I29" i="4"/>
  <c r="I30" i="4" s="1"/>
  <c r="J29" i="4"/>
  <c r="K29" i="4"/>
  <c r="L29" i="4"/>
  <c r="M29" i="4"/>
  <c r="N29" i="4"/>
  <c r="E32" i="4"/>
  <c r="F32" i="4"/>
  <c r="G32" i="4"/>
  <c r="H32" i="4"/>
  <c r="I32" i="4"/>
  <c r="J32" i="4"/>
  <c r="K32" i="4"/>
  <c r="L32" i="4"/>
  <c r="M32" i="4"/>
  <c r="N32" i="4"/>
  <c r="E33" i="4"/>
  <c r="F33" i="4"/>
  <c r="G33" i="4"/>
  <c r="H33" i="4"/>
  <c r="I33" i="4"/>
  <c r="J33" i="4"/>
  <c r="K33" i="4"/>
  <c r="L33" i="4"/>
  <c r="M33" i="4"/>
  <c r="N33" i="4"/>
  <c r="E34" i="4"/>
  <c r="F34" i="4"/>
  <c r="G34" i="4"/>
  <c r="H34" i="4"/>
  <c r="I34" i="4"/>
  <c r="J34" i="4"/>
  <c r="K34" i="4"/>
  <c r="L34" i="4"/>
  <c r="M34" i="4"/>
  <c r="N34" i="4"/>
  <c r="E35" i="4"/>
  <c r="F35" i="4"/>
  <c r="G35" i="4"/>
  <c r="H35" i="4"/>
  <c r="I35" i="4"/>
  <c r="J35" i="4"/>
  <c r="K35" i="4"/>
  <c r="L35" i="4"/>
  <c r="M35" i="4"/>
  <c r="N35" i="4"/>
  <c r="E38" i="4"/>
  <c r="F38" i="4"/>
  <c r="G38" i="4"/>
  <c r="H38" i="4"/>
  <c r="I38" i="4"/>
  <c r="J38" i="4"/>
  <c r="K38" i="4"/>
  <c r="L38" i="4"/>
  <c r="M38" i="4"/>
  <c r="N38" i="4"/>
  <c r="C1" i="7"/>
  <c r="E5" i="7"/>
  <c r="F5" i="7" s="1"/>
  <c r="G5" i="7" s="1"/>
  <c r="H5" i="7" s="1"/>
  <c r="I5" i="7" s="1"/>
  <c r="J5" i="7" s="1"/>
  <c r="K5" i="7" s="1"/>
  <c r="L5" i="7" s="1"/>
  <c r="M5" i="7" s="1"/>
  <c r="N5" i="7" s="1"/>
  <c r="E7" i="7"/>
  <c r="F7" i="7"/>
  <c r="G7" i="7"/>
  <c r="H7" i="7"/>
  <c r="I7" i="7"/>
  <c r="J7" i="7"/>
  <c r="K7" i="7"/>
  <c r="L7" i="7"/>
  <c r="M7" i="7"/>
  <c r="N7" i="7"/>
  <c r="E8" i="7"/>
  <c r="F8" i="7"/>
  <c r="G8" i="7"/>
  <c r="H8" i="7"/>
  <c r="I8" i="7"/>
  <c r="J8" i="7"/>
  <c r="K8" i="7"/>
  <c r="L8" i="7"/>
  <c r="M8" i="7"/>
  <c r="N8" i="7"/>
  <c r="E9" i="7"/>
  <c r="F9" i="7"/>
  <c r="G9" i="7"/>
  <c r="H9" i="7"/>
  <c r="I9" i="7"/>
  <c r="J9" i="7"/>
  <c r="K9" i="7"/>
  <c r="L9" i="7"/>
  <c r="M9" i="7"/>
  <c r="N9" i="7"/>
  <c r="E10" i="7"/>
  <c r="F10" i="7"/>
  <c r="G10" i="7"/>
  <c r="H10" i="7"/>
  <c r="I10" i="7"/>
  <c r="J10" i="7"/>
  <c r="K10" i="7"/>
  <c r="L10" i="7"/>
  <c r="M10" i="7"/>
  <c r="N10" i="7"/>
  <c r="E11" i="7"/>
  <c r="F11" i="7"/>
  <c r="G11" i="7"/>
  <c r="H11" i="7"/>
  <c r="I11" i="7"/>
  <c r="J11" i="7"/>
  <c r="K11" i="7"/>
  <c r="L11" i="7"/>
  <c r="M11" i="7"/>
  <c r="N11" i="7"/>
  <c r="E12" i="7"/>
  <c r="F12" i="7"/>
  <c r="G12" i="7"/>
  <c r="H12" i="7"/>
  <c r="I12" i="7"/>
  <c r="J12" i="7"/>
  <c r="K12" i="7"/>
  <c r="L12" i="7"/>
  <c r="M12" i="7"/>
  <c r="N12" i="7"/>
  <c r="E15" i="7"/>
  <c r="F15" i="7"/>
  <c r="G15" i="7"/>
  <c r="H15" i="7"/>
  <c r="I15" i="7"/>
  <c r="J15" i="7"/>
  <c r="K15" i="7"/>
  <c r="L15" i="7"/>
  <c r="M15" i="7"/>
  <c r="N15" i="7"/>
  <c r="E16" i="7"/>
  <c r="F16" i="7"/>
  <c r="G16" i="7"/>
  <c r="H16" i="7"/>
  <c r="I16" i="7"/>
  <c r="J16" i="7"/>
  <c r="K16" i="7"/>
  <c r="L16" i="7"/>
  <c r="M16" i="7"/>
  <c r="N16" i="7"/>
  <c r="E17" i="7"/>
  <c r="F17" i="7"/>
  <c r="G17" i="7"/>
  <c r="H17" i="7"/>
  <c r="I17" i="7"/>
  <c r="J17" i="7"/>
  <c r="K17" i="7"/>
  <c r="L17" i="7"/>
  <c r="M17" i="7"/>
  <c r="N17" i="7"/>
  <c r="E18" i="7"/>
  <c r="F18" i="7"/>
  <c r="G18" i="7"/>
  <c r="H18" i="7"/>
  <c r="I18" i="7"/>
  <c r="J18" i="7"/>
  <c r="K18" i="7"/>
  <c r="L18" i="7"/>
  <c r="M18" i="7"/>
  <c r="N18" i="7"/>
  <c r="E21" i="7"/>
  <c r="F21" i="7"/>
  <c r="G21" i="7"/>
  <c r="H21" i="7"/>
  <c r="I21" i="7"/>
  <c r="J21" i="7"/>
  <c r="K21" i="7"/>
  <c r="L21" i="7"/>
  <c r="M21" i="7"/>
  <c r="N21" i="7"/>
  <c r="E22" i="7"/>
  <c r="F22" i="7"/>
  <c r="G22" i="7"/>
  <c r="H22" i="7"/>
  <c r="I22" i="7"/>
  <c r="J22" i="7"/>
  <c r="K22" i="7"/>
  <c r="L22" i="7"/>
  <c r="M22" i="7"/>
  <c r="N22" i="7"/>
  <c r="E23" i="7"/>
  <c r="F23" i="7"/>
  <c r="G23" i="7"/>
  <c r="H23" i="7"/>
  <c r="I23" i="7"/>
  <c r="J23" i="7"/>
  <c r="K23" i="7"/>
  <c r="L23" i="7"/>
  <c r="M23" i="7"/>
  <c r="N23" i="7"/>
  <c r="E26" i="7"/>
  <c r="F26" i="7"/>
  <c r="G26" i="7"/>
  <c r="H26" i="7"/>
  <c r="I26" i="7"/>
  <c r="J26" i="7"/>
  <c r="K26" i="7"/>
  <c r="L26" i="7"/>
  <c r="M26" i="7"/>
  <c r="N26" i="7"/>
  <c r="E27" i="7"/>
  <c r="F27" i="7"/>
  <c r="G27" i="7"/>
  <c r="H27" i="7"/>
  <c r="I27" i="7"/>
  <c r="J27" i="7"/>
  <c r="K27" i="7"/>
  <c r="L27" i="7"/>
  <c r="M27" i="7"/>
  <c r="N27" i="7"/>
  <c r="N29" i="7" s="1"/>
  <c r="E28" i="7"/>
  <c r="F28" i="7"/>
  <c r="G28" i="7"/>
  <c r="H28" i="7"/>
  <c r="I28" i="7"/>
  <c r="J28" i="7"/>
  <c r="K28" i="7"/>
  <c r="L28" i="7"/>
  <c r="M28" i="7"/>
  <c r="N28" i="7"/>
  <c r="F33" i="7"/>
  <c r="H33" i="7"/>
  <c r="J33" i="7"/>
  <c r="L33" i="7"/>
  <c r="N33" i="7"/>
  <c r="E34" i="7"/>
  <c r="F34" i="7"/>
  <c r="G34" i="7"/>
  <c r="H34" i="7"/>
  <c r="I34" i="7"/>
  <c r="J34" i="7"/>
  <c r="K34" i="7"/>
  <c r="L34" i="7"/>
  <c r="M34" i="7"/>
  <c r="N34" i="7"/>
  <c r="E35" i="7"/>
  <c r="F35" i="7"/>
  <c r="G35" i="7"/>
  <c r="H35" i="7"/>
  <c r="I35" i="7"/>
  <c r="J35" i="7"/>
  <c r="K35" i="7"/>
  <c r="L35" i="7"/>
  <c r="M35" i="7"/>
  <c r="N35" i="7"/>
  <c r="E40" i="7"/>
  <c r="F40" i="7"/>
  <c r="G40" i="7"/>
  <c r="H40" i="7"/>
  <c r="I40" i="7"/>
  <c r="J40" i="7"/>
  <c r="K40" i="7"/>
  <c r="L40" i="7"/>
  <c r="M40" i="7"/>
  <c r="N40" i="7"/>
  <c r="C1" i="3"/>
  <c r="D2" i="3"/>
  <c r="E5" i="3"/>
  <c r="F5" i="3" s="1"/>
  <c r="G5" i="3" s="1"/>
  <c r="H5" i="3" s="1"/>
  <c r="I5" i="3" s="1"/>
  <c r="J5" i="3" s="1"/>
  <c r="K5" i="3" s="1"/>
  <c r="L5" i="3" s="1"/>
  <c r="M5" i="3" s="1"/>
  <c r="N5" i="3" s="1"/>
  <c r="E7" i="3"/>
  <c r="F7" i="3"/>
  <c r="G7" i="3"/>
  <c r="H7" i="3"/>
  <c r="I7" i="3"/>
  <c r="J7" i="3"/>
  <c r="K7" i="3"/>
  <c r="L7" i="3"/>
  <c r="M7" i="3"/>
  <c r="N7" i="3"/>
  <c r="E8" i="3"/>
  <c r="F8" i="3"/>
  <c r="G8" i="3"/>
  <c r="H8" i="3"/>
  <c r="I8" i="3"/>
  <c r="J8" i="3"/>
  <c r="K8" i="3"/>
  <c r="L8" i="3"/>
  <c r="M8" i="3"/>
  <c r="N8" i="3"/>
  <c r="E9" i="3"/>
  <c r="F9" i="3"/>
  <c r="G9" i="3"/>
  <c r="H9" i="3"/>
  <c r="I9" i="3"/>
  <c r="J9" i="3"/>
  <c r="K9" i="3"/>
  <c r="L9" i="3"/>
  <c r="M9" i="3"/>
  <c r="N9" i="3"/>
  <c r="E10" i="3"/>
  <c r="F10" i="3"/>
  <c r="G10" i="3"/>
  <c r="H10" i="3"/>
  <c r="I10" i="3"/>
  <c r="J10" i="3"/>
  <c r="K10" i="3"/>
  <c r="L10" i="3"/>
  <c r="M10" i="3"/>
  <c r="N10" i="3"/>
  <c r="E11" i="3"/>
  <c r="F11" i="3"/>
  <c r="G11" i="3"/>
  <c r="H11" i="3"/>
  <c r="I11" i="3"/>
  <c r="J11" i="3"/>
  <c r="K11" i="3"/>
  <c r="L11" i="3"/>
  <c r="M11" i="3"/>
  <c r="N11" i="3"/>
  <c r="E12" i="3"/>
  <c r="F12" i="3"/>
  <c r="G12" i="3"/>
  <c r="H12" i="3"/>
  <c r="I12" i="3"/>
  <c r="J12" i="3"/>
  <c r="K12" i="3"/>
  <c r="L12" i="3"/>
  <c r="M12" i="3"/>
  <c r="N12" i="3"/>
  <c r="E15" i="3"/>
  <c r="F15" i="3"/>
  <c r="G15" i="3"/>
  <c r="H15" i="3"/>
  <c r="I15" i="3"/>
  <c r="J15" i="3"/>
  <c r="K15" i="3"/>
  <c r="L15" i="3"/>
  <c r="M15" i="3"/>
  <c r="N15" i="3"/>
  <c r="E16" i="3"/>
  <c r="F16" i="3"/>
  <c r="G16" i="3"/>
  <c r="H16" i="3"/>
  <c r="I16" i="3"/>
  <c r="J16" i="3"/>
  <c r="K16" i="3"/>
  <c r="L16" i="3"/>
  <c r="M16" i="3"/>
  <c r="N16" i="3"/>
  <c r="E17" i="3"/>
  <c r="F17" i="3"/>
  <c r="G17" i="3"/>
  <c r="H17" i="3"/>
  <c r="I17" i="3"/>
  <c r="J17" i="3"/>
  <c r="K17" i="3"/>
  <c r="L17" i="3"/>
  <c r="M17" i="3"/>
  <c r="N17" i="3"/>
  <c r="E18" i="3"/>
  <c r="F18" i="3"/>
  <c r="G18" i="3"/>
  <c r="H18" i="3"/>
  <c r="I18" i="3"/>
  <c r="J18" i="3"/>
  <c r="K18" i="3"/>
  <c r="L18" i="3"/>
  <c r="M18" i="3"/>
  <c r="N18" i="3"/>
  <c r="E21" i="3"/>
  <c r="F21" i="3"/>
  <c r="G21" i="3"/>
  <c r="H21" i="3"/>
  <c r="I21" i="3"/>
  <c r="J21" i="3"/>
  <c r="K21" i="3"/>
  <c r="L21" i="3"/>
  <c r="M21" i="3"/>
  <c r="N21" i="3"/>
  <c r="E22" i="3"/>
  <c r="F22" i="3"/>
  <c r="G22" i="3"/>
  <c r="G24" i="3" s="1"/>
  <c r="H22" i="3"/>
  <c r="I22" i="3"/>
  <c r="J22" i="3"/>
  <c r="K22" i="3"/>
  <c r="L22" i="3"/>
  <c r="M22" i="3"/>
  <c r="N22" i="3"/>
  <c r="E23" i="3"/>
  <c r="F23" i="3"/>
  <c r="G23" i="3"/>
  <c r="H23" i="3"/>
  <c r="I23" i="3"/>
  <c r="J23" i="3"/>
  <c r="K23" i="3"/>
  <c r="L23" i="3"/>
  <c r="L24" i="3" s="1"/>
  <c r="M23" i="3"/>
  <c r="N23" i="3"/>
  <c r="E26" i="3"/>
  <c r="F26" i="3"/>
  <c r="G26" i="3"/>
  <c r="H26" i="3"/>
  <c r="I26" i="3"/>
  <c r="J26" i="3"/>
  <c r="K26" i="3"/>
  <c r="L26" i="3"/>
  <c r="M26" i="3"/>
  <c r="N26" i="3"/>
  <c r="E27" i="3"/>
  <c r="F27" i="3"/>
  <c r="G27" i="3"/>
  <c r="H27" i="3"/>
  <c r="I27" i="3"/>
  <c r="I29" i="3" s="1"/>
  <c r="J27" i="3"/>
  <c r="K27" i="3"/>
  <c r="L27" i="3"/>
  <c r="M27" i="3"/>
  <c r="N27" i="3"/>
  <c r="E28" i="3"/>
  <c r="F28" i="3"/>
  <c r="G28" i="3"/>
  <c r="H28" i="3"/>
  <c r="I28" i="3"/>
  <c r="J28" i="3"/>
  <c r="K28" i="3"/>
  <c r="L28" i="3"/>
  <c r="M28" i="3"/>
  <c r="N28" i="3"/>
  <c r="E33" i="3"/>
  <c r="F33" i="3"/>
  <c r="G33" i="3"/>
  <c r="H33" i="3"/>
  <c r="I33" i="3"/>
  <c r="J33" i="3"/>
  <c r="K33" i="3"/>
  <c r="L33" i="3"/>
  <c r="M33" i="3"/>
  <c r="N33" i="3"/>
  <c r="E34" i="3"/>
  <c r="F34" i="3"/>
  <c r="G34" i="3"/>
  <c r="H34" i="3"/>
  <c r="I34" i="3"/>
  <c r="J34" i="3"/>
  <c r="K34" i="3"/>
  <c r="L34" i="3"/>
  <c r="M34" i="3"/>
  <c r="N34" i="3"/>
  <c r="E35" i="3"/>
  <c r="F35" i="3"/>
  <c r="G35" i="3"/>
  <c r="H35" i="3"/>
  <c r="I35" i="3"/>
  <c r="J35" i="3"/>
  <c r="K35" i="3"/>
  <c r="L35" i="3"/>
  <c r="M35" i="3"/>
  <c r="N35" i="3"/>
  <c r="E40" i="3"/>
  <c r="F40" i="3"/>
  <c r="G40" i="3"/>
  <c r="H40" i="3"/>
  <c r="I40" i="3"/>
  <c r="J40" i="3"/>
  <c r="K40" i="3"/>
  <c r="L40" i="3"/>
  <c r="M40" i="3"/>
  <c r="N40" i="3"/>
  <c r="C1" i="6"/>
  <c r="D2" i="6"/>
  <c r="E5" i="6"/>
  <c r="F5" i="6" s="1"/>
  <c r="G5" i="6" s="1"/>
  <c r="H5" i="6" s="1"/>
  <c r="I5" i="6" s="1"/>
  <c r="J5" i="6" s="1"/>
  <c r="K5" i="6" s="1"/>
  <c r="L5" i="6" s="1"/>
  <c r="M5" i="6" s="1"/>
  <c r="N5" i="6" s="1"/>
  <c r="E7" i="6"/>
  <c r="F7" i="6"/>
  <c r="G7" i="6"/>
  <c r="H7" i="6"/>
  <c r="I7" i="6"/>
  <c r="J7" i="6"/>
  <c r="K7" i="6"/>
  <c r="L7" i="6"/>
  <c r="M7" i="6"/>
  <c r="N7" i="6"/>
  <c r="E8" i="6"/>
  <c r="F8" i="6"/>
  <c r="G8" i="6"/>
  <c r="H8" i="6"/>
  <c r="I8" i="6"/>
  <c r="J8" i="6"/>
  <c r="K8" i="6"/>
  <c r="L8" i="6"/>
  <c r="M8" i="6"/>
  <c r="N8" i="6"/>
  <c r="E9" i="6"/>
  <c r="F9" i="6"/>
  <c r="G9" i="6"/>
  <c r="H9" i="6"/>
  <c r="I9" i="6"/>
  <c r="J9" i="6"/>
  <c r="K9" i="6"/>
  <c r="L9" i="6"/>
  <c r="M9" i="6"/>
  <c r="N9" i="6"/>
  <c r="E10" i="6"/>
  <c r="F10" i="6"/>
  <c r="G10" i="6"/>
  <c r="H10" i="6"/>
  <c r="I10" i="6"/>
  <c r="J10" i="6"/>
  <c r="K10" i="6"/>
  <c r="L10" i="6"/>
  <c r="M10" i="6"/>
  <c r="N10" i="6"/>
  <c r="E11" i="6"/>
  <c r="F11" i="6"/>
  <c r="G11" i="6"/>
  <c r="H11" i="6"/>
  <c r="I11" i="6"/>
  <c r="J11" i="6"/>
  <c r="K11" i="6"/>
  <c r="L11" i="6"/>
  <c r="M11" i="6"/>
  <c r="N11" i="6"/>
  <c r="E12" i="6"/>
  <c r="F12" i="6"/>
  <c r="G12" i="6"/>
  <c r="H12" i="6"/>
  <c r="I12" i="6"/>
  <c r="J12" i="6"/>
  <c r="K12" i="6"/>
  <c r="L12" i="6"/>
  <c r="M12" i="6"/>
  <c r="N12" i="6"/>
  <c r="E15" i="6"/>
  <c r="F15" i="6"/>
  <c r="G15" i="6"/>
  <c r="H15" i="6"/>
  <c r="I15" i="6"/>
  <c r="J15" i="6"/>
  <c r="K15" i="6"/>
  <c r="L15" i="6"/>
  <c r="M15" i="6"/>
  <c r="N15" i="6"/>
  <c r="E16" i="6"/>
  <c r="F16" i="6"/>
  <c r="G16" i="6"/>
  <c r="H16" i="6"/>
  <c r="I16" i="6"/>
  <c r="J16" i="6"/>
  <c r="K16" i="6"/>
  <c r="L16" i="6"/>
  <c r="M16" i="6"/>
  <c r="N16" i="6"/>
  <c r="E17" i="6"/>
  <c r="F17" i="6"/>
  <c r="G17" i="6"/>
  <c r="H17" i="6"/>
  <c r="I17" i="6"/>
  <c r="J17" i="6"/>
  <c r="K17" i="6"/>
  <c r="L17" i="6"/>
  <c r="M17" i="6"/>
  <c r="N17" i="6"/>
  <c r="E18" i="6"/>
  <c r="F18" i="6"/>
  <c r="G18" i="6"/>
  <c r="H18" i="6"/>
  <c r="I18" i="6"/>
  <c r="J18" i="6"/>
  <c r="K18" i="6"/>
  <c r="L18" i="6"/>
  <c r="M18" i="6"/>
  <c r="N18" i="6"/>
  <c r="E21" i="6"/>
  <c r="F21" i="6"/>
  <c r="G21" i="6"/>
  <c r="H21" i="6"/>
  <c r="I21" i="6"/>
  <c r="J21" i="6"/>
  <c r="K21" i="6"/>
  <c r="L21" i="6"/>
  <c r="M21" i="6"/>
  <c r="N21" i="6"/>
  <c r="E22" i="6"/>
  <c r="F22" i="6"/>
  <c r="G22" i="6"/>
  <c r="H22" i="6"/>
  <c r="I22" i="6"/>
  <c r="J22" i="6"/>
  <c r="K22" i="6"/>
  <c r="L22" i="6"/>
  <c r="M22" i="6"/>
  <c r="N22" i="6"/>
  <c r="E23" i="6"/>
  <c r="F23" i="6"/>
  <c r="G23" i="6"/>
  <c r="H23" i="6"/>
  <c r="I23" i="6"/>
  <c r="J23" i="6"/>
  <c r="K23" i="6"/>
  <c r="L23" i="6"/>
  <c r="M23" i="6"/>
  <c r="N23" i="6"/>
  <c r="E26" i="6"/>
  <c r="F26" i="6"/>
  <c r="G26" i="6"/>
  <c r="H26" i="6"/>
  <c r="I26" i="6"/>
  <c r="J26" i="6"/>
  <c r="K26" i="6"/>
  <c r="L26" i="6"/>
  <c r="M26" i="6"/>
  <c r="N26" i="6"/>
  <c r="E27" i="6"/>
  <c r="F27" i="6"/>
  <c r="G27" i="6"/>
  <c r="H27" i="6"/>
  <c r="I27" i="6"/>
  <c r="J27" i="6"/>
  <c r="K27" i="6"/>
  <c r="L27" i="6"/>
  <c r="M27" i="6"/>
  <c r="N27" i="6"/>
  <c r="E28" i="6"/>
  <c r="F28" i="6"/>
  <c r="G28" i="6"/>
  <c r="H28" i="6"/>
  <c r="I28" i="6"/>
  <c r="J28" i="6"/>
  <c r="K28" i="6"/>
  <c r="L28" i="6"/>
  <c r="M28" i="6"/>
  <c r="N28" i="6"/>
  <c r="F33" i="6"/>
  <c r="H33" i="6"/>
  <c r="J33" i="6"/>
  <c r="L33" i="6"/>
  <c r="N33" i="6"/>
  <c r="E34" i="6"/>
  <c r="F34" i="6"/>
  <c r="G34" i="6"/>
  <c r="H34" i="6"/>
  <c r="I34" i="6"/>
  <c r="J34" i="6"/>
  <c r="K34" i="6"/>
  <c r="L34" i="6"/>
  <c r="M34" i="6"/>
  <c r="N34" i="6"/>
  <c r="E35" i="6"/>
  <c r="F35" i="6"/>
  <c r="G35" i="6"/>
  <c r="H35" i="6"/>
  <c r="I35" i="6"/>
  <c r="J35" i="6"/>
  <c r="K35" i="6"/>
  <c r="L35" i="6"/>
  <c r="M35" i="6"/>
  <c r="N35" i="6"/>
  <c r="E40" i="6"/>
  <c r="F40" i="6"/>
  <c r="G40" i="6"/>
  <c r="H40" i="6"/>
  <c r="I40" i="6"/>
  <c r="J40" i="6"/>
  <c r="K40" i="6"/>
  <c r="L40" i="6"/>
  <c r="M40" i="6"/>
  <c r="N40" i="6"/>
  <c r="C1" i="2"/>
  <c r="E5" i="2"/>
  <c r="F5" i="2" s="1"/>
  <c r="G5" i="2" s="1"/>
  <c r="H5" i="2" s="1"/>
  <c r="I5" i="2" s="1"/>
  <c r="J5" i="2" s="1"/>
  <c r="K5" i="2" s="1"/>
  <c r="L5" i="2" s="1"/>
  <c r="M5" i="2" s="1"/>
  <c r="N5" i="2" s="1"/>
  <c r="E7" i="2"/>
  <c r="F7" i="2"/>
  <c r="G7" i="2"/>
  <c r="H7" i="2"/>
  <c r="I7" i="2"/>
  <c r="J7" i="2"/>
  <c r="K7" i="2"/>
  <c r="L7" i="2"/>
  <c r="M7" i="2"/>
  <c r="N7" i="2"/>
  <c r="E8" i="2"/>
  <c r="F8" i="2"/>
  <c r="G8" i="2"/>
  <c r="H8" i="2"/>
  <c r="I8" i="2"/>
  <c r="J8" i="2"/>
  <c r="K8" i="2"/>
  <c r="L8" i="2"/>
  <c r="M8" i="2"/>
  <c r="N8" i="2"/>
  <c r="E9" i="2"/>
  <c r="F9" i="2"/>
  <c r="G9" i="2"/>
  <c r="H9" i="2"/>
  <c r="I9" i="2"/>
  <c r="J9" i="2"/>
  <c r="K9" i="2"/>
  <c r="L9" i="2"/>
  <c r="M9" i="2"/>
  <c r="N9" i="2"/>
  <c r="E10" i="2"/>
  <c r="F10" i="2"/>
  <c r="G10" i="2"/>
  <c r="H10" i="2"/>
  <c r="I10" i="2"/>
  <c r="J10" i="2"/>
  <c r="K10" i="2"/>
  <c r="L10" i="2"/>
  <c r="M10" i="2"/>
  <c r="N10" i="2"/>
  <c r="E11" i="2"/>
  <c r="F11" i="2"/>
  <c r="G11" i="2"/>
  <c r="H11" i="2"/>
  <c r="I11" i="2"/>
  <c r="J11" i="2"/>
  <c r="K11" i="2"/>
  <c r="L11" i="2"/>
  <c r="M11" i="2"/>
  <c r="N11" i="2"/>
  <c r="E12" i="2"/>
  <c r="F12" i="2"/>
  <c r="G12" i="2"/>
  <c r="H12" i="2"/>
  <c r="I12" i="2"/>
  <c r="J12" i="2"/>
  <c r="K12" i="2"/>
  <c r="L12" i="2"/>
  <c r="M12" i="2"/>
  <c r="N12" i="2"/>
  <c r="E15" i="2"/>
  <c r="F15" i="2"/>
  <c r="G15" i="2"/>
  <c r="H15" i="2"/>
  <c r="I15" i="2"/>
  <c r="J15" i="2"/>
  <c r="K15" i="2"/>
  <c r="L15" i="2"/>
  <c r="M15" i="2"/>
  <c r="N15" i="2"/>
  <c r="E16" i="2"/>
  <c r="F16" i="2"/>
  <c r="G16" i="2"/>
  <c r="H16" i="2"/>
  <c r="I16" i="2"/>
  <c r="J16" i="2"/>
  <c r="K16" i="2"/>
  <c r="L16" i="2"/>
  <c r="M16" i="2"/>
  <c r="N16" i="2"/>
  <c r="E17" i="2"/>
  <c r="F17" i="2"/>
  <c r="G17" i="2"/>
  <c r="H17" i="2"/>
  <c r="I17" i="2"/>
  <c r="J17" i="2"/>
  <c r="K17" i="2"/>
  <c r="L17" i="2"/>
  <c r="M17" i="2"/>
  <c r="N17" i="2"/>
  <c r="E18" i="2"/>
  <c r="F18" i="2"/>
  <c r="G18" i="2"/>
  <c r="H18" i="2"/>
  <c r="I18" i="2"/>
  <c r="J18" i="2"/>
  <c r="K18" i="2"/>
  <c r="L18" i="2"/>
  <c r="M18" i="2"/>
  <c r="N18" i="2"/>
  <c r="E21" i="2"/>
  <c r="F21" i="2"/>
  <c r="G21" i="2"/>
  <c r="H21" i="2"/>
  <c r="I21" i="2"/>
  <c r="J21" i="2"/>
  <c r="K21" i="2"/>
  <c r="L21" i="2"/>
  <c r="M21" i="2"/>
  <c r="N21" i="2"/>
  <c r="E22" i="2"/>
  <c r="F22" i="2"/>
  <c r="G22" i="2"/>
  <c r="G24" i="2" s="1"/>
  <c r="H22" i="2"/>
  <c r="I22" i="2"/>
  <c r="J22" i="2"/>
  <c r="K22" i="2"/>
  <c r="L22" i="2"/>
  <c r="M22" i="2"/>
  <c r="N22" i="2"/>
  <c r="E23" i="2"/>
  <c r="F23" i="2"/>
  <c r="G23" i="2"/>
  <c r="H23" i="2"/>
  <c r="I23" i="2"/>
  <c r="J23" i="2"/>
  <c r="K23" i="2"/>
  <c r="L23" i="2"/>
  <c r="M23" i="2"/>
  <c r="N23" i="2"/>
  <c r="E26" i="2"/>
  <c r="F26" i="2"/>
  <c r="G26" i="2"/>
  <c r="H26" i="2"/>
  <c r="I26" i="2"/>
  <c r="J26" i="2"/>
  <c r="K26" i="2"/>
  <c r="L26" i="2"/>
  <c r="M26" i="2"/>
  <c r="N26" i="2"/>
  <c r="E27" i="2"/>
  <c r="F27" i="2"/>
  <c r="G27" i="2"/>
  <c r="H27" i="2"/>
  <c r="H29" i="2" s="1"/>
  <c r="I27" i="2"/>
  <c r="J27" i="2"/>
  <c r="K27" i="2"/>
  <c r="L27" i="2"/>
  <c r="M27" i="2"/>
  <c r="N27" i="2"/>
  <c r="E28" i="2"/>
  <c r="F28" i="2"/>
  <c r="G28" i="2"/>
  <c r="H28" i="2"/>
  <c r="I28" i="2"/>
  <c r="J28" i="2"/>
  <c r="K28" i="2"/>
  <c r="L28" i="2"/>
  <c r="M28" i="2"/>
  <c r="N28" i="2"/>
  <c r="E33" i="2"/>
  <c r="F33" i="2"/>
  <c r="G33" i="2"/>
  <c r="H33" i="2"/>
  <c r="I33" i="2"/>
  <c r="J33" i="2"/>
  <c r="K33" i="2"/>
  <c r="L33" i="2"/>
  <c r="M33" i="2"/>
  <c r="N33" i="2"/>
  <c r="E34" i="2"/>
  <c r="F34" i="2"/>
  <c r="F36" i="2" s="1"/>
  <c r="G34" i="2"/>
  <c r="G36" i="2" s="1"/>
  <c r="H34" i="2"/>
  <c r="I34" i="2"/>
  <c r="J34" i="2"/>
  <c r="K34" i="2"/>
  <c r="L34" i="2"/>
  <c r="M34" i="2"/>
  <c r="N34" i="2"/>
  <c r="E35" i="2"/>
  <c r="F35" i="2"/>
  <c r="G35" i="2"/>
  <c r="H35" i="2"/>
  <c r="I35" i="2"/>
  <c r="J35" i="2"/>
  <c r="K35" i="2"/>
  <c r="L35" i="2"/>
  <c r="M35" i="2"/>
  <c r="N35" i="2"/>
  <c r="E40" i="2"/>
  <c r="F40" i="2"/>
  <c r="G40" i="2"/>
  <c r="H40" i="2"/>
  <c r="I40" i="2"/>
  <c r="J40" i="2"/>
  <c r="K40" i="2"/>
  <c r="L40" i="2"/>
  <c r="M40" i="2"/>
  <c r="N40" i="2"/>
  <c r="C1" i="23"/>
  <c r="D2" i="23"/>
  <c r="E5" i="23"/>
  <c r="F5" i="23" s="1"/>
  <c r="G5" i="23" s="1"/>
  <c r="H5" i="23" s="1"/>
  <c r="I5" i="23" s="1"/>
  <c r="J5" i="23" s="1"/>
  <c r="K5" i="23" s="1"/>
  <c r="L5" i="23" s="1"/>
  <c r="M5" i="23" s="1"/>
  <c r="N5" i="23" s="1"/>
  <c r="E9" i="23"/>
  <c r="F9" i="23"/>
  <c r="G9" i="23"/>
  <c r="H9" i="23"/>
  <c r="I9" i="23"/>
  <c r="J9" i="23"/>
  <c r="K9" i="23"/>
  <c r="L9" i="23"/>
  <c r="M9" i="23"/>
  <c r="N9" i="23"/>
  <c r="E10" i="23"/>
  <c r="F10" i="23"/>
  <c r="G10" i="23"/>
  <c r="H10" i="23"/>
  <c r="I10" i="23"/>
  <c r="J10" i="23"/>
  <c r="K10" i="23"/>
  <c r="L10" i="23"/>
  <c r="M10" i="23"/>
  <c r="N10" i="23"/>
  <c r="E11" i="23"/>
  <c r="F11" i="23"/>
  <c r="G11" i="23"/>
  <c r="H11" i="23"/>
  <c r="I11" i="23"/>
  <c r="J11" i="23"/>
  <c r="K11" i="23"/>
  <c r="L11" i="23"/>
  <c r="M11" i="23"/>
  <c r="N11" i="23"/>
  <c r="E12" i="23"/>
  <c r="F12" i="23"/>
  <c r="G12" i="23"/>
  <c r="H12" i="23"/>
  <c r="I12" i="23"/>
  <c r="J12" i="23"/>
  <c r="K12" i="23"/>
  <c r="L12" i="23"/>
  <c r="M12" i="23"/>
  <c r="N12" i="23"/>
  <c r="E16" i="23"/>
  <c r="F16" i="23"/>
  <c r="G16" i="23"/>
  <c r="H16" i="23"/>
  <c r="I16" i="23"/>
  <c r="J16" i="23"/>
  <c r="K16" i="23"/>
  <c r="L16" i="23"/>
  <c r="M16" i="23"/>
  <c r="N16" i="23"/>
  <c r="E17" i="23"/>
  <c r="F17" i="23"/>
  <c r="G17" i="23"/>
  <c r="H17" i="23"/>
  <c r="I17" i="23"/>
  <c r="J17" i="23"/>
  <c r="K17" i="23"/>
  <c r="L17" i="23"/>
  <c r="M17" i="23"/>
  <c r="N17" i="23"/>
  <c r="E18" i="23"/>
  <c r="F18" i="23"/>
  <c r="G18" i="23"/>
  <c r="H18" i="23"/>
  <c r="I18" i="23"/>
  <c r="J18" i="23"/>
  <c r="K18" i="23"/>
  <c r="L18" i="23"/>
  <c r="M18" i="23"/>
  <c r="N18" i="23"/>
  <c r="E19" i="23"/>
  <c r="F19" i="23"/>
  <c r="G19" i="23"/>
  <c r="H19" i="23"/>
  <c r="I19" i="23"/>
  <c r="J19" i="23"/>
  <c r="K19" i="23"/>
  <c r="L19" i="23"/>
  <c r="M19" i="23"/>
  <c r="N19" i="23"/>
  <c r="E20" i="23"/>
  <c r="F20" i="23"/>
  <c r="G20" i="23"/>
  <c r="H20" i="23"/>
  <c r="I20" i="23"/>
  <c r="J20" i="23"/>
  <c r="K20" i="23"/>
  <c r="L20" i="23"/>
  <c r="M20" i="23"/>
  <c r="N20" i="23"/>
  <c r="E21" i="23"/>
  <c r="F21" i="23"/>
  <c r="G21" i="23"/>
  <c r="H21" i="23"/>
  <c r="I21" i="23"/>
  <c r="J21" i="23"/>
  <c r="K21" i="23"/>
  <c r="L21" i="23"/>
  <c r="M21" i="23"/>
  <c r="N21" i="23"/>
  <c r="E22" i="23"/>
  <c r="F22" i="23"/>
  <c r="G22" i="23"/>
  <c r="H22" i="23"/>
  <c r="I22" i="23"/>
  <c r="J22" i="23"/>
  <c r="K22" i="23"/>
  <c r="L22" i="23"/>
  <c r="M22" i="23"/>
  <c r="N22" i="23"/>
  <c r="E26" i="23"/>
  <c r="F26" i="23"/>
  <c r="G26" i="23"/>
  <c r="H26" i="23"/>
  <c r="I26" i="23"/>
  <c r="J26" i="23"/>
  <c r="K26" i="23"/>
  <c r="L26" i="23"/>
  <c r="M26" i="23"/>
  <c r="N26" i="23"/>
  <c r="E27" i="23"/>
  <c r="F27" i="23"/>
  <c r="G27" i="23"/>
  <c r="H27" i="23"/>
  <c r="I27" i="23"/>
  <c r="J27" i="23"/>
  <c r="K27" i="23"/>
  <c r="L27" i="23"/>
  <c r="M27" i="23"/>
  <c r="N27" i="23"/>
  <c r="E31" i="23"/>
  <c r="F31" i="23"/>
  <c r="G31" i="23"/>
  <c r="H31" i="23"/>
  <c r="I31" i="23"/>
  <c r="J31" i="23"/>
  <c r="K31" i="23"/>
  <c r="L31" i="23"/>
  <c r="M31" i="23"/>
  <c r="N31" i="23"/>
  <c r="E32" i="23"/>
  <c r="F32" i="23"/>
  <c r="G32" i="23"/>
  <c r="H32" i="23"/>
  <c r="I32" i="23"/>
  <c r="J32" i="23"/>
  <c r="K32" i="23"/>
  <c r="L32" i="23"/>
  <c r="M32" i="23"/>
  <c r="N32" i="23"/>
  <c r="N33" i="23" s="1"/>
  <c r="E34" i="23"/>
  <c r="F34" i="23"/>
  <c r="G34" i="23"/>
  <c r="H34" i="23"/>
  <c r="I34" i="23"/>
  <c r="J34" i="23"/>
  <c r="K34" i="23"/>
  <c r="L34" i="23"/>
  <c r="M34" i="23"/>
  <c r="N34" i="23"/>
  <c r="E35" i="23"/>
  <c r="F35" i="23"/>
  <c r="G35" i="23"/>
  <c r="H35" i="23"/>
  <c r="I35" i="23"/>
  <c r="J35" i="23"/>
  <c r="K35" i="23"/>
  <c r="L35" i="23"/>
  <c r="M35" i="23"/>
  <c r="N35" i="23"/>
  <c r="E36" i="23"/>
  <c r="F36" i="23"/>
  <c r="G36" i="23"/>
  <c r="H36" i="23"/>
  <c r="I36" i="23"/>
  <c r="J36" i="23"/>
  <c r="K36" i="23"/>
  <c r="L36" i="23"/>
  <c r="M36" i="23"/>
  <c r="N36" i="23"/>
  <c r="C1" i="22"/>
  <c r="E5" i="22"/>
  <c r="F5" i="22" s="1"/>
  <c r="G5" i="22" s="1"/>
  <c r="H5" i="22" s="1"/>
  <c r="I5" i="22" s="1"/>
  <c r="J5" i="22" s="1"/>
  <c r="K5" i="22" s="1"/>
  <c r="L5" i="22" s="1"/>
  <c r="M5" i="22" s="1"/>
  <c r="N5" i="22" s="1"/>
  <c r="E9" i="22"/>
  <c r="F9" i="22"/>
  <c r="G9" i="22"/>
  <c r="H9" i="22"/>
  <c r="I9" i="22"/>
  <c r="J9" i="22"/>
  <c r="K9" i="22"/>
  <c r="L9" i="22"/>
  <c r="M9" i="22"/>
  <c r="N9" i="22"/>
  <c r="E10" i="22"/>
  <c r="F10" i="22"/>
  <c r="G10" i="22"/>
  <c r="H10" i="22"/>
  <c r="I10" i="22"/>
  <c r="J10" i="22"/>
  <c r="K10" i="22"/>
  <c r="L10" i="22"/>
  <c r="M10" i="22"/>
  <c r="N10" i="22"/>
  <c r="E11" i="22"/>
  <c r="F11" i="22"/>
  <c r="G11" i="22"/>
  <c r="H11" i="22"/>
  <c r="I11" i="22"/>
  <c r="J11" i="22"/>
  <c r="K11" i="22"/>
  <c r="L11" i="22"/>
  <c r="M11" i="22"/>
  <c r="N11" i="22"/>
  <c r="E12" i="22"/>
  <c r="F12" i="22"/>
  <c r="G12" i="22"/>
  <c r="H12" i="22"/>
  <c r="I12" i="22"/>
  <c r="J12" i="22"/>
  <c r="K12" i="22"/>
  <c r="L12" i="22"/>
  <c r="M12" i="22"/>
  <c r="N12" i="22"/>
  <c r="E16" i="22"/>
  <c r="F16" i="22"/>
  <c r="G16" i="22"/>
  <c r="H16" i="22"/>
  <c r="I16" i="22"/>
  <c r="J16" i="22"/>
  <c r="K16" i="22"/>
  <c r="L16" i="22"/>
  <c r="M16" i="22"/>
  <c r="N16" i="22"/>
  <c r="E17" i="22"/>
  <c r="F17" i="22"/>
  <c r="G17" i="22"/>
  <c r="H17" i="22"/>
  <c r="I17" i="22"/>
  <c r="J17" i="22"/>
  <c r="K17" i="22"/>
  <c r="L17" i="22"/>
  <c r="M17" i="22"/>
  <c r="N17" i="22"/>
  <c r="E18" i="22"/>
  <c r="F18" i="22"/>
  <c r="G18" i="22"/>
  <c r="H18" i="22"/>
  <c r="I18" i="22"/>
  <c r="J18" i="22"/>
  <c r="K18" i="22"/>
  <c r="L18" i="22"/>
  <c r="M18" i="22"/>
  <c r="N18" i="22"/>
  <c r="E19" i="22"/>
  <c r="F19" i="22"/>
  <c r="G19" i="22"/>
  <c r="H19" i="22"/>
  <c r="I19" i="22"/>
  <c r="J19" i="22"/>
  <c r="K19" i="22"/>
  <c r="L19" i="22"/>
  <c r="M19" i="22"/>
  <c r="N19" i="22"/>
  <c r="E20" i="22"/>
  <c r="F20" i="22"/>
  <c r="G20" i="22"/>
  <c r="H20" i="22"/>
  <c r="I20" i="22"/>
  <c r="J20" i="22"/>
  <c r="K20" i="22"/>
  <c r="L20" i="22"/>
  <c r="M20" i="22"/>
  <c r="N20" i="22"/>
  <c r="E21" i="22"/>
  <c r="F21" i="22"/>
  <c r="G21" i="22"/>
  <c r="H21" i="22"/>
  <c r="I21" i="22"/>
  <c r="J21" i="22"/>
  <c r="K21" i="22"/>
  <c r="L21" i="22"/>
  <c r="M21" i="22"/>
  <c r="N21" i="22"/>
  <c r="E22" i="22"/>
  <c r="F22" i="22"/>
  <c r="G22" i="22"/>
  <c r="H22" i="22"/>
  <c r="I22" i="22"/>
  <c r="J22" i="22"/>
  <c r="K22" i="22"/>
  <c r="L22" i="22"/>
  <c r="M22" i="22"/>
  <c r="N22" i="22"/>
  <c r="E26" i="22"/>
  <c r="F26" i="22"/>
  <c r="G26" i="22"/>
  <c r="H26" i="22"/>
  <c r="I26" i="22"/>
  <c r="J26" i="22"/>
  <c r="K26" i="22"/>
  <c r="L26" i="22"/>
  <c r="M26" i="22"/>
  <c r="N26" i="22"/>
  <c r="E27" i="22"/>
  <c r="F27" i="22"/>
  <c r="G27" i="22"/>
  <c r="H27" i="22"/>
  <c r="I27" i="22"/>
  <c r="J27" i="22"/>
  <c r="K27" i="22"/>
  <c r="L27" i="22"/>
  <c r="M27" i="22"/>
  <c r="N27" i="22"/>
  <c r="E31" i="22"/>
  <c r="F31" i="22"/>
  <c r="G31" i="22"/>
  <c r="H31" i="22"/>
  <c r="I31" i="22"/>
  <c r="J31" i="22"/>
  <c r="K31" i="22"/>
  <c r="L31" i="22"/>
  <c r="M31" i="22"/>
  <c r="N31" i="22"/>
  <c r="E32" i="22"/>
  <c r="F32" i="22"/>
  <c r="G32" i="22"/>
  <c r="H32" i="22"/>
  <c r="I32" i="22"/>
  <c r="J32" i="22"/>
  <c r="K32" i="22"/>
  <c r="L32" i="22"/>
  <c r="L33" i="22" s="1"/>
  <c r="M32" i="22"/>
  <c r="N32" i="22"/>
  <c r="E34" i="22"/>
  <c r="F34" i="22"/>
  <c r="G34" i="22"/>
  <c r="H34" i="22"/>
  <c r="I34" i="22"/>
  <c r="J34" i="22"/>
  <c r="K34" i="22"/>
  <c r="L34" i="22"/>
  <c r="M34" i="22"/>
  <c r="N34" i="22"/>
  <c r="E35" i="22"/>
  <c r="F35" i="22"/>
  <c r="G35" i="22"/>
  <c r="H35" i="22"/>
  <c r="I35" i="22"/>
  <c r="J35" i="22"/>
  <c r="K35" i="22"/>
  <c r="L35" i="22"/>
  <c r="M35" i="22"/>
  <c r="N35" i="22"/>
  <c r="E36" i="22"/>
  <c r="F36" i="22"/>
  <c r="G36" i="22"/>
  <c r="H36" i="22"/>
  <c r="I36" i="22"/>
  <c r="J36" i="22"/>
  <c r="K36" i="22"/>
  <c r="L36" i="22"/>
  <c r="M36" i="22"/>
  <c r="N36" i="22"/>
  <c r="C1" i="21"/>
  <c r="D2" i="21"/>
  <c r="E5" i="21"/>
  <c r="F5" i="21" s="1"/>
  <c r="G5" i="21" s="1"/>
  <c r="H5" i="21" s="1"/>
  <c r="I5" i="21" s="1"/>
  <c r="J5" i="21" s="1"/>
  <c r="K5" i="21" s="1"/>
  <c r="L5" i="21" s="1"/>
  <c r="M5" i="21" s="1"/>
  <c r="N5" i="21" s="1"/>
  <c r="E9" i="21"/>
  <c r="F9" i="21"/>
  <c r="G9" i="21"/>
  <c r="H9" i="21"/>
  <c r="I9" i="21"/>
  <c r="J9" i="21"/>
  <c r="K9" i="21"/>
  <c r="L9" i="21"/>
  <c r="M9" i="21"/>
  <c r="N9" i="21"/>
  <c r="E10" i="21"/>
  <c r="F10" i="21"/>
  <c r="G10" i="21"/>
  <c r="H10" i="21"/>
  <c r="I10" i="21"/>
  <c r="J10" i="21"/>
  <c r="K10" i="21"/>
  <c r="L10" i="21"/>
  <c r="M10" i="21"/>
  <c r="N10" i="21"/>
  <c r="E11" i="21"/>
  <c r="F11" i="21"/>
  <c r="G11" i="21"/>
  <c r="H11" i="21"/>
  <c r="I11" i="21"/>
  <c r="J11" i="21"/>
  <c r="K11" i="21"/>
  <c r="L11" i="21"/>
  <c r="M11" i="21"/>
  <c r="N11" i="21"/>
  <c r="E12" i="21"/>
  <c r="F12" i="21"/>
  <c r="G12" i="21"/>
  <c r="H12" i="21"/>
  <c r="I12" i="21"/>
  <c r="J12" i="21"/>
  <c r="K12" i="21"/>
  <c r="L12" i="21"/>
  <c r="M12" i="21"/>
  <c r="N12" i="21"/>
  <c r="E16" i="21"/>
  <c r="F16" i="21"/>
  <c r="G16" i="21"/>
  <c r="H16" i="21"/>
  <c r="I16" i="21"/>
  <c r="J16" i="21"/>
  <c r="K16" i="21"/>
  <c r="L16" i="21"/>
  <c r="M16" i="21"/>
  <c r="N16" i="21"/>
  <c r="E17" i="21"/>
  <c r="F17" i="21"/>
  <c r="G17" i="21"/>
  <c r="H17" i="21"/>
  <c r="I17" i="21"/>
  <c r="J17" i="21"/>
  <c r="K17" i="21"/>
  <c r="L17" i="21"/>
  <c r="M17" i="21"/>
  <c r="N17" i="21"/>
  <c r="E18" i="21"/>
  <c r="F18" i="21"/>
  <c r="G18" i="21"/>
  <c r="H18" i="21"/>
  <c r="I18" i="21"/>
  <c r="J18" i="21"/>
  <c r="K18" i="21"/>
  <c r="L18" i="21"/>
  <c r="M18" i="21"/>
  <c r="N18" i="21"/>
  <c r="E19" i="21"/>
  <c r="F19" i="21"/>
  <c r="G19" i="21"/>
  <c r="H19" i="21"/>
  <c r="I19" i="21"/>
  <c r="J19" i="21"/>
  <c r="K19" i="21"/>
  <c r="L19" i="21"/>
  <c r="M19" i="21"/>
  <c r="N19" i="21"/>
  <c r="E20" i="21"/>
  <c r="F20" i="21"/>
  <c r="G20" i="21"/>
  <c r="H20" i="21"/>
  <c r="I20" i="21"/>
  <c r="J20" i="21"/>
  <c r="K20" i="21"/>
  <c r="L20" i="21"/>
  <c r="M20" i="21"/>
  <c r="N20" i="21"/>
  <c r="E21" i="21"/>
  <c r="F21" i="21"/>
  <c r="G21" i="21"/>
  <c r="H21" i="21"/>
  <c r="I21" i="21"/>
  <c r="J21" i="21"/>
  <c r="K21" i="21"/>
  <c r="L21" i="21"/>
  <c r="M21" i="21"/>
  <c r="N21" i="21"/>
  <c r="E22" i="21"/>
  <c r="F22" i="21"/>
  <c r="G22" i="21"/>
  <c r="H22" i="21"/>
  <c r="I22" i="21"/>
  <c r="J22" i="21"/>
  <c r="K22" i="21"/>
  <c r="L22" i="21"/>
  <c r="M22" i="21"/>
  <c r="N22" i="21"/>
  <c r="E26" i="21"/>
  <c r="F26" i="21"/>
  <c r="G26" i="21"/>
  <c r="H26" i="21"/>
  <c r="I26" i="21"/>
  <c r="J26" i="21"/>
  <c r="K26" i="21"/>
  <c r="L26" i="21"/>
  <c r="M26" i="21"/>
  <c r="N26" i="21"/>
  <c r="E27" i="21"/>
  <c r="F27" i="21"/>
  <c r="G27" i="21"/>
  <c r="H27" i="21"/>
  <c r="I27" i="21"/>
  <c r="J27" i="21"/>
  <c r="K27" i="21"/>
  <c r="L27" i="21"/>
  <c r="M27" i="21"/>
  <c r="N27" i="21"/>
  <c r="E31" i="21"/>
  <c r="F31" i="21"/>
  <c r="G31" i="21"/>
  <c r="H31" i="21"/>
  <c r="I31" i="21"/>
  <c r="J31" i="21"/>
  <c r="K31" i="21"/>
  <c r="L31" i="21"/>
  <c r="M31" i="21"/>
  <c r="N31" i="21"/>
  <c r="E32" i="21"/>
  <c r="F32" i="21"/>
  <c r="G32" i="21"/>
  <c r="H32" i="21"/>
  <c r="I32" i="21"/>
  <c r="J32" i="21"/>
  <c r="K32" i="21"/>
  <c r="L32" i="21"/>
  <c r="M32" i="21"/>
  <c r="N32" i="21"/>
  <c r="E33" i="21"/>
  <c r="F33" i="21"/>
  <c r="G33" i="21"/>
  <c r="H33" i="21"/>
  <c r="I33" i="21"/>
  <c r="J33" i="21"/>
  <c r="K33" i="21"/>
  <c r="L33" i="21"/>
  <c r="M33" i="21"/>
  <c r="N33" i="21"/>
  <c r="E34" i="21"/>
  <c r="F34" i="21"/>
  <c r="G34" i="21"/>
  <c r="H34" i="21"/>
  <c r="I34" i="21"/>
  <c r="J34" i="21"/>
  <c r="K34" i="21"/>
  <c r="L34" i="21"/>
  <c r="M34" i="21"/>
  <c r="N34" i="21"/>
  <c r="E35" i="21"/>
  <c r="F35" i="21"/>
  <c r="G35" i="21"/>
  <c r="H35" i="21"/>
  <c r="I35" i="21"/>
  <c r="J35" i="21"/>
  <c r="K35" i="21"/>
  <c r="L35" i="21"/>
  <c r="M35" i="21"/>
  <c r="N35" i="21"/>
  <c r="E36" i="21"/>
  <c r="F36" i="21"/>
  <c r="G36" i="21"/>
  <c r="H36" i="21"/>
  <c r="I36" i="21"/>
  <c r="J36" i="21"/>
  <c r="K36" i="21"/>
  <c r="L36" i="21"/>
  <c r="M36" i="21"/>
  <c r="N36" i="21"/>
  <c r="C1" i="20"/>
  <c r="E4" i="20"/>
  <c r="F4" i="20" s="1"/>
  <c r="G4" i="20" s="1"/>
  <c r="H4" i="20" s="1"/>
  <c r="I4" i="20" s="1"/>
  <c r="J4" i="20" s="1"/>
  <c r="K4" i="20" s="1"/>
  <c r="L4" i="20" s="1"/>
  <c r="M4" i="20" s="1"/>
  <c r="N4" i="20" s="1"/>
  <c r="E7" i="20"/>
  <c r="F7" i="20"/>
  <c r="G7" i="20"/>
  <c r="H7" i="20"/>
  <c r="I7" i="20"/>
  <c r="J7" i="20"/>
  <c r="K7" i="20"/>
  <c r="L7" i="20"/>
  <c r="M7" i="20"/>
  <c r="N7" i="20"/>
  <c r="E8" i="20"/>
  <c r="F8" i="20"/>
  <c r="G8" i="20"/>
  <c r="H8" i="20"/>
  <c r="I8" i="20"/>
  <c r="J8" i="20"/>
  <c r="K8" i="20"/>
  <c r="L8" i="20"/>
  <c r="M8" i="20"/>
  <c r="N8" i="20"/>
  <c r="E9" i="20"/>
  <c r="F9" i="20"/>
  <c r="G9" i="20"/>
  <c r="H9" i="20"/>
  <c r="I9" i="20"/>
  <c r="I25" i="20" s="1"/>
  <c r="J9" i="20"/>
  <c r="K9" i="20"/>
  <c r="L9" i="20"/>
  <c r="M9" i="20"/>
  <c r="N9" i="20"/>
  <c r="E10" i="20"/>
  <c r="F10" i="20"/>
  <c r="F26" i="20" s="1"/>
  <c r="G10" i="20"/>
  <c r="H10" i="20"/>
  <c r="H26" i="20" s="1"/>
  <c r="I10" i="20"/>
  <c r="I26" i="20" s="1"/>
  <c r="J10" i="20"/>
  <c r="K10" i="20"/>
  <c r="L10" i="20"/>
  <c r="M10" i="20"/>
  <c r="N10" i="20"/>
  <c r="E11" i="20"/>
  <c r="F11" i="20"/>
  <c r="G11" i="20"/>
  <c r="H11" i="20"/>
  <c r="H24" i="20" s="1"/>
  <c r="I11" i="20"/>
  <c r="J11" i="20"/>
  <c r="K11" i="20"/>
  <c r="L11" i="20"/>
  <c r="L24" i="20" s="1"/>
  <c r="M11" i="20"/>
  <c r="N11" i="20"/>
  <c r="E15" i="20"/>
  <c r="F15" i="20"/>
  <c r="G15" i="20"/>
  <c r="H15" i="20"/>
  <c r="I15" i="20"/>
  <c r="J15" i="20"/>
  <c r="K15" i="20"/>
  <c r="L15" i="20"/>
  <c r="M15" i="20"/>
  <c r="N15" i="20"/>
  <c r="E16" i="20"/>
  <c r="F16" i="20"/>
  <c r="G16" i="20"/>
  <c r="H16" i="20"/>
  <c r="I16" i="20"/>
  <c r="J16" i="20"/>
  <c r="K16" i="20"/>
  <c r="L16" i="20"/>
  <c r="M16" i="20"/>
  <c r="N16" i="20"/>
  <c r="E17" i="20"/>
  <c r="F17" i="20"/>
  <c r="G17" i="20"/>
  <c r="H17" i="20"/>
  <c r="I17" i="20"/>
  <c r="J17" i="20"/>
  <c r="K17" i="20"/>
  <c r="L17" i="20"/>
  <c r="M17" i="20"/>
  <c r="N17" i="20"/>
  <c r="E18" i="20"/>
  <c r="F18" i="20"/>
  <c r="G18" i="20"/>
  <c r="H18" i="20"/>
  <c r="I18" i="20"/>
  <c r="J18" i="20"/>
  <c r="K18" i="20"/>
  <c r="L18" i="20"/>
  <c r="M18" i="20"/>
  <c r="N18" i="20"/>
  <c r="E19" i="20"/>
  <c r="F19" i="20"/>
  <c r="G19" i="20"/>
  <c r="H19" i="20"/>
  <c r="I19" i="20"/>
  <c r="J19" i="20"/>
  <c r="K19" i="20"/>
  <c r="L19" i="20"/>
  <c r="M19" i="20"/>
  <c r="N19" i="20"/>
  <c r="E23" i="20"/>
  <c r="F23" i="20"/>
  <c r="G23" i="20"/>
  <c r="H23" i="20"/>
  <c r="I23" i="20"/>
  <c r="J23" i="20"/>
  <c r="K23" i="20"/>
  <c r="L23" i="20"/>
  <c r="M23" i="20"/>
  <c r="N23" i="20"/>
  <c r="E31" i="20"/>
  <c r="F31" i="20"/>
  <c r="G31" i="20"/>
  <c r="H31" i="20"/>
  <c r="I31" i="20"/>
  <c r="J31" i="20"/>
  <c r="K31" i="20"/>
  <c r="L31" i="20"/>
  <c r="M31" i="20"/>
  <c r="N31" i="20"/>
  <c r="C38" i="20"/>
  <c r="E41" i="20"/>
  <c r="F41" i="20" s="1"/>
  <c r="G41" i="20" s="1"/>
  <c r="H41" i="20" s="1"/>
  <c r="I41" i="20" s="1"/>
  <c r="J41" i="20" s="1"/>
  <c r="K41" i="20" s="1"/>
  <c r="L41" i="20" s="1"/>
  <c r="M41" i="20" s="1"/>
  <c r="N41" i="20" s="1"/>
  <c r="C1" i="19"/>
  <c r="E5" i="19"/>
  <c r="F5" i="19" s="1"/>
  <c r="G5" i="19" s="1"/>
  <c r="H5" i="19" s="1"/>
  <c r="I5" i="19" s="1"/>
  <c r="J5" i="19" s="1"/>
  <c r="K5" i="19" s="1"/>
  <c r="L5" i="19" s="1"/>
  <c r="M5" i="19" s="1"/>
  <c r="N5" i="19" s="1"/>
  <c r="E7" i="19"/>
  <c r="F7" i="19"/>
  <c r="G7" i="19"/>
  <c r="H7" i="19"/>
  <c r="I7" i="19"/>
  <c r="J7" i="19"/>
  <c r="K7" i="19"/>
  <c r="L7" i="19"/>
  <c r="M7" i="19"/>
  <c r="N7" i="19"/>
  <c r="E8" i="19"/>
  <c r="F8" i="19"/>
  <c r="G8" i="19"/>
  <c r="H8" i="19"/>
  <c r="I8" i="19"/>
  <c r="J8" i="19"/>
  <c r="K8" i="19"/>
  <c r="L8" i="19"/>
  <c r="M8" i="19"/>
  <c r="N8" i="19"/>
  <c r="E9" i="19"/>
  <c r="F9" i="19"/>
  <c r="G9" i="19"/>
  <c r="H9" i="19"/>
  <c r="I9" i="19"/>
  <c r="J9" i="19"/>
  <c r="K9" i="19"/>
  <c r="L9" i="19"/>
  <c r="M9" i="19"/>
  <c r="N9" i="19"/>
  <c r="E10" i="19"/>
  <c r="F10" i="19"/>
  <c r="G10" i="19"/>
  <c r="H10" i="19"/>
  <c r="I10" i="19"/>
  <c r="J10" i="19"/>
  <c r="K10" i="19"/>
  <c r="L10" i="19"/>
  <c r="M10" i="19"/>
  <c r="N10" i="19"/>
  <c r="E11" i="19"/>
  <c r="F11" i="19"/>
  <c r="G11" i="19"/>
  <c r="H11" i="19"/>
  <c r="I11" i="19"/>
  <c r="J11" i="19"/>
  <c r="K11" i="19"/>
  <c r="L11" i="19"/>
  <c r="M11" i="19"/>
  <c r="N11" i="19"/>
  <c r="E13" i="19"/>
  <c r="F13" i="19"/>
  <c r="G13" i="19"/>
  <c r="H13" i="19"/>
  <c r="I13" i="19"/>
  <c r="J13" i="19"/>
  <c r="K13" i="19"/>
  <c r="L13" i="19"/>
  <c r="M13" i="19"/>
  <c r="N13" i="19"/>
  <c r="E15" i="19"/>
  <c r="F15" i="19"/>
  <c r="G15" i="19"/>
  <c r="H15" i="19"/>
  <c r="I15" i="19"/>
  <c r="J15" i="19"/>
  <c r="K15" i="19"/>
  <c r="L15" i="19"/>
  <c r="M15" i="19"/>
  <c r="N15" i="19"/>
  <c r="E16" i="19"/>
  <c r="F16" i="19"/>
  <c r="G16" i="19"/>
  <c r="H16" i="19"/>
  <c r="I16" i="19"/>
  <c r="J16" i="19"/>
  <c r="K16" i="19"/>
  <c r="L16" i="19"/>
  <c r="M16" i="19"/>
  <c r="N16" i="19"/>
  <c r="E17" i="19"/>
  <c r="F17" i="19"/>
  <c r="G17" i="19"/>
  <c r="H17" i="19"/>
  <c r="I17" i="19"/>
  <c r="J17" i="19"/>
  <c r="K17" i="19"/>
  <c r="L17" i="19"/>
  <c r="M17" i="19"/>
  <c r="N17" i="19"/>
  <c r="E18" i="19"/>
  <c r="F18" i="19"/>
  <c r="G18" i="19"/>
  <c r="H18" i="19"/>
  <c r="I18" i="19"/>
  <c r="J18" i="19"/>
  <c r="K18" i="19"/>
  <c r="L18" i="19"/>
  <c r="M18" i="19"/>
  <c r="N18" i="19"/>
  <c r="E20" i="19"/>
  <c r="F20" i="19"/>
  <c r="G20" i="19"/>
  <c r="H20" i="19"/>
  <c r="I20" i="19"/>
  <c r="I19" i="19" s="1"/>
  <c r="J20" i="19"/>
  <c r="K20" i="19"/>
  <c r="L20" i="19"/>
  <c r="M20" i="19"/>
  <c r="M19" i="19" s="1"/>
  <c r="N20" i="19"/>
  <c r="E22" i="19"/>
  <c r="F22" i="19"/>
  <c r="G22" i="19"/>
  <c r="H22" i="19"/>
  <c r="I22" i="19"/>
  <c r="J22" i="19"/>
  <c r="K22" i="19"/>
  <c r="L22" i="19"/>
  <c r="M22" i="19"/>
  <c r="N22" i="19"/>
  <c r="E23" i="19"/>
  <c r="F23" i="19"/>
  <c r="G23" i="19"/>
  <c r="H23" i="19"/>
  <c r="I23" i="19"/>
  <c r="J23" i="19"/>
  <c r="K23" i="19"/>
  <c r="L23" i="19"/>
  <c r="M23" i="19"/>
  <c r="N23" i="19"/>
  <c r="E24" i="19"/>
  <c r="F24" i="19"/>
  <c r="G24" i="19"/>
  <c r="H24" i="19"/>
  <c r="I24" i="19"/>
  <c r="J24" i="19"/>
  <c r="K24" i="19"/>
  <c r="L24" i="19"/>
  <c r="M24" i="19"/>
  <c r="N24" i="19"/>
  <c r="E25" i="19"/>
  <c r="F25" i="19"/>
  <c r="G25" i="19"/>
  <c r="H25" i="19"/>
  <c r="I25" i="19"/>
  <c r="J25" i="19"/>
  <c r="K25" i="19"/>
  <c r="L25" i="19"/>
  <c r="M25" i="19"/>
  <c r="N25" i="19"/>
  <c r="E26" i="19"/>
  <c r="F26" i="19"/>
  <c r="G26" i="19"/>
  <c r="H26" i="19"/>
  <c r="I26" i="19"/>
  <c r="J26" i="19"/>
  <c r="K26" i="19"/>
  <c r="L26" i="19"/>
  <c r="M26" i="19"/>
  <c r="N26" i="19"/>
  <c r="E29" i="19"/>
  <c r="F29" i="19"/>
  <c r="G29" i="19"/>
  <c r="H29" i="19"/>
  <c r="I29" i="19"/>
  <c r="J29" i="19"/>
  <c r="K29" i="19"/>
  <c r="L29" i="19"/>
  <c r="M29" i="19"/>
  <c r="N29" i="19"/>
  <c r="E30" i="19"/>
  <c r="F30" i="19"/>
  <c r="G30" i="19"/>
  <c r="H30" i="19"/>
  <c r="I30" i="19"/>
  <c r="J30" i="19"/>
  <c r="K30" i="19"/>
  <c r="L30" i="19"/>
  <c r="M30" i="19"/>
  <c r="N30" i="19"/>
  <c r="E31" i="19"/>
  <c r="F31" i="19"/>
  <c r="G31" i="19"/>
  <c r="H31" i="19"/>
  <c r="I31" i="19"/>
  <c r="J31" i="19"/>
  <c r="K31" i="19"/>
  <c r="L31" i="19"/>
  <c r="M31" i="19"/>
  <c r="N31" i="19"/>
  <c r="E32" i="19"/>
  <c r="F32" i="19"/>
  <c r="G32" i="19"/>
  <c r="H32" i="19"/>
  <c r="I32" i="19"/>
  <c r="J32" i="19"/>
  <c r="K32" i="19"/>
  <c r="L32" i="19"/>
  <c r="M32" i="19"/>
  <c r="N32" i="19"/>
  <c r="E33" i="19"/>
  <c r="F33" i="19"/>
  <c r="G33" i="19"/>
  <c r="H33" i="19"/>
  <c r="I33" i="19"/>
  <c r="J33" i="19"/>
  <c r="K33" i="19"/>
  <c r="L33" i="19"/>
  <c r="M33" i="19"/>
  <c r="N33" i="19"/>
  <c r="E34" i="19"/>
  <c r="F34" i="19"/>
  <c r="G34" i="19"/>
  <c r="H34" i="19"/>
  <c r="I34" i="19"/>
  <c r="J34" i="19"/>
  <c r="K34" i="19"/>
  <c r="L34" i="19"/>
  <c r="M34" i="19"/>
  <c r="N34" i="19"/>
  <c r="E39" i="19"/>
  <c r="F39" i="19"/>
  <c r="G39" i="19"/>
  <c r="H39" i="19"/>
  <c r="I39" i="19"/>
  <c r="J39" i="19"/>
  <c r="K39" i="19"/>
  <c r="L39" i="19"/>
  <c r="M39" i="19"/>
  <c r="N39" i="19"/>
  <c r="E43" i="19"/>
  <c r="F43" i="19"/>
  <c r="G43" i="19"/>
  <c r="H43" i="19"/>
  <c r="I43" i="19"/>
  <c r="J43" i="19"/>
  <c r="K43" i="19"/>
  <c r="L43" i="19"/>
  <c r="M43" i="19"/>
  <c r="N43" i="19"/>
  <c r="C1" i="18"/>
  <c r="D2" i="18"/>
  <c r="E5" i="18"/>
  <c r="F5" i="18" s="1"/>
  <c r="G5" i="18" s="1"/>
  <c r="H5" i="18" s="1"/>
  <c r="I5" i="18" s="1"/>
  <c r="J5" i="18" s="1"/>
  <c r="K5" i="18" s="1"/>
  <c r="L5" i="18" s="1"/>
  <c r="M5" i="18" s="1"/>
  <c r="N5" i="18" s="1"/>
  <c r="E7" i="18"/>
  <c r="F7" i="18"/>
  <c r="G7" i="18"/>
  <c r="H7" i="18"/>
  <c r="I7" i="18"/>
  <c r="J7" i="18"/>
  <c r="K7" i="18"/>
  <c r="L7" i="18"/>
  <c r="M7" i="18"/>
  <c r="N7" i="18"/>
  <c r="E8" i="18"/>
  <c r="F8" i="18"/>
  <c r="G8" i="18"/>
  <c r="H8" i="18"/>
  <c r="I8" i="18"/>
  <c r="J8" i="18"/>
  <c r="K8" i="18"/>
  <c r="L8" i="18"/>
  <c r="M8" i="18"/>
  <c r="N8" i="18"/>
  <c r="E9" i="18"/>
  <c r="F9" i="18"/>
  <c r="G9" i="18"/>
  <c r="H9" i="18"/>
  <c r="I9" i="18"/>
  <c r="J9" i="18"/>
  <c r="K9" i="18"/>
  <c r="L9" i="18"/>
  <c r="M9" i="18"/>
  <c r="N9" i="18"/>
  <c r="E10" i="18"/>
  <c r="F10" i="18"/>
  <c r="G10" i="18"/>
  <c r="H10" i="18"/>
  <c r="I10" i="18"/>
  <c r="J10" i="18"/>
  <c r="K10" i="18"/>
  <c r="L10" i="18"/>
  <c r="M10" i="18"/>
  <c r="N10" i="18"/>
  <c r="E11" i="18"/>
  <c r="F11" i="18"/>
  <c r="G11" i="18"/>
  <c r="H11" i="18"/>
  <c r="I11" i="18"/>
  <c r="J11" i="18"/>
  <c r="K11" i="18"/>
  <c r="L11" i="18"/>
  <c r="M11" i="18"/>
  <c r="N11" i="18"/>
  <c r="E13" i="18"/>
  <c r="F13" i="18"/>
  <c r="G13" i="18"/>
  <c r="H13" i="18"/>
  <c r="I13" i="18"/>
  <c r="J13" i="18"/>
  <c r="K13" i="18"/>
  <c r="L13" i="18"/>
  <c r="M13" i="18"/>
  <c r="N13" i="18"/>
  <c r="E15" i="18"/>
  <c r="F15" i="18"/>
  <c r="G15" i="18"/>
  <c r="H15" i="18"/>
  <c r="I15" i="18"/>
  <c r="J15" i="18"/>
  <c r="K15" i="18"/>
  <c r="L15" i="18"/>
  <c r="M15" i="18"/>
  <c r="N15" i="18"/>
  <c r="E16" i="18"/>
  <c r="F16" i="18"/>
  <c r="G16" i="18"/>
  <c r="H16" i="18"/>
  <c r="I16" i="18"/>
  <c r="J16" i="18"/>
  <c r="K16" i="18"/>
  <c r="L16" i="18"/>
  <c r="M16" i="18"/>
  <c r="N16" i="18"/>
  <c r="E17" i="18"/>
  <c r="F17" i="18"/>
  <c r="G17" i="18"/>
  <c r="H17" i="18"/>
  <c r="I17" i="18"/>
  <c r="J17" i="18"/>
  <c r="K17" i="18"/>
  <c r="L17" i="18"/>
  <c r="M17" i="18"/>
  <c r="N17" i="18"/>
  <c r="E18" i="18"/>
  <c r="F18" i="18"/>
  <c r="G18" i="18"/>
  <c r="H18" i="18"/>
  <c r="I18" i="18"/>
  <c r="J18" i="18"/>
  <c r="K18" i="18"/>
  <c r="L18" i="18"/>
  <c r="M18" i="18"/>
  <c r="N18" i="18"/>
  <c r="E20" i="18"/>
  <c r="F20" i="18"/>
  <c r="F19" i="18" s="1"/>
  <c r="G20" i="18"/>
  <c r="H20" i="18"/>
  <c r="I20" i="18"/>
  <c r="J20" i="18"/>
  <c r="K20" i="18"/>
  <c r="L20" i="18"/>
  <c r="M20" i="18"/>
  <c r="N20" i="18"/>
  <c r="E22" i="18"/>
  <c r="F22" i="18"/>
  <c r="G22" i="18"/>
  <c r="H22" i="18"/>
  <c r="I22" i="18"/>
  <c r="J22" i="18"/>
  <c r="K22" i="18"/>
  <c r="L22" i="18"/>
  <c r="M22" i="18"/>
  <c r="N22" i="18"/>
  <c r="E23" i="18"/>
  <c r="F23" i="18"/>
  <c r="G23" i="18"/>
  <c r="H23" i="18"/>
  <c r="I23" i="18"/>
  <c r="J23" i="18"/>
  <c r="K23" i="18"/>
  <c r="L23" i="18"/>
  <c r="M23" i="18"/>
  <c r="N23" i="18"/>
  <c r="E24" i="18"/>
  <c r="F24" i="18"/>
  <c r="G24" i="18"/>
  <c r="H24" i="18"/>
  <c r="I24" i="18"/>
  <c r="J24" i="18"/>
  <c r="K24" i="18"/>
  <c r="L24" i="18"/>
  <c r="M24" i="18"/>
  <c r="N24" i="18"/>
  <c r="E25" i="18"/>
  <c r="F25" i="18"/>
  <c r="G25" i="18"/>
  <c r="H25" i="18"/>
  <c r="I25" i="18"/>
  <c r="J25" i="18"/>
  <c r="K25" i="18"/>
  <c r="L25" i="18"/>
  <c r="M25" i="18"/>
  <c r="N25" i="18"/>
  <c r="E27" i="18"/>
  <c r="F27" i="18"/>
  <c r="G27" i="18"/>
  <c r="H27" i="18"/>
  <c r="I27" i="18"/>
  <c r="J27" i="18"/>
  <c r="K27" i="18"/>
  <c r="L27" i="18"/>
  <c r="L26" i="18" s="1"/>
  <c r="M27" i="18"/>
  <c r="N27" i="18"/>
  <c r="E29" i="18"/>
  <c r="F29" i="18"/>
  <c r="G29" i="18"/>
  <c r="G34" i="18" s="1"/>
  <c r="H29" i="18"/>
  <c r="I29" i="18"/>
  <c r="J29" i="18"/>
  <c r="K29" i="18"/>
  <c r="L29" i="18"/>
  <c r="M29" i="18"/>
  <c r="N29" i="18"/>
  <c r="E30" i="18"/>
  <c r="F30" i="18"/>
  <c r="G30" i="18"/>
  <c r="H30" i="18"/>
  <c r="I30" i="18"/>
  <c r="J30" i="18"/>
  <c r="K30" i="18"/>
  <c r="L30" i="18"/>
  <c r="M30" i="18"/>
  <c r="N30" i="18"/>
  <c r="E31" i="18"/>
  <c r="F31" i="18"/>
  <c r="G31" i="18"/>
  <c r="H31" i="18"/>
  <c r="I31" i="18"/>
  <c r="J31" i="18"/>
  <c r="K31" i="18"/>
  <c r="L31" i="18"/>
  <c r="M31" i="18"/>
  <c r="N31" i="18"/>
  <c r="E32" i="18"/>
  <c r="F32" i="18"/>
  <c r="G32" i="18"/>
  <c r="H32" i="18"/>
  <c r="I32" i="18"/>
  <c r="J32" i="18"/>
  <c r="K32" i="18"/>
  <c r="L32" i="18"/>
  <c r="M32" i="18"/>
  <c r="N32" i="18"/>
  <c r="E33" i="18"/>
  <c r="F33" i="18"/>
  <c r="G33" i="18"/>
  <c r="H33" i="18"/>
  <c r="I33" i="18"/>
  <c r="J33" i="18"/>
  <c r="K33" i="18"/>
  <c r="L33" i="18"/>
  <c r="M33" i="18"/>
  <c r="N33" i="18"/>
  <c r="E35" i="18"/>
  <c r="F35" i="18"/>
  <c r="G35" i="18"/>
  <c r="H35" i="18"/>
  <c r="I35" i="18"/>
  <c r="J35" i="18"/>
  <c r="K35" i="18"/>
  <c r="L35" i="18"/>
  <c r="L34" i="18" s="1"/>
  <c r="M35" i="18"/>
  <c r="N35" i="18"/>
  <c r="E39" i="18"/>
  <c r="F39" i="18"/>
  <c r="G39" i="18"/>
  <c r="H39" i="18"/>
  <c r="I39" i="18"/>
  <c r="J39" i="18"/>
  <c r="K39" i="18"/>
  <c r="L39" i="18"/>
  <c r="M39" i="18"/>
  <c r="N39" i="18"/>
  <c r="E43" i="18"/>
  <c r="F43" i="18"/>
  <c r="G43" i="18"/>
  <c r="H43" i="18"/>
  <c r="I43" i="18"/>
  <c r="J43" i="18"/>
  <c r="K43" i="18"/>
  <c r="L43" i="18"/>
  <c r="M43" i="18"/>
  <c r="N43" i="18"/>
  <c r="C1" i="17"/>
  <c r="D2" i="17"/>
  <c r="E5" i="17"/>
  <c r="F5" i="17" s="1"/>
  <c r="G5" i="17" s="1"/>
  <c r="H5" i="17" s="1"/>
  <c r="I5" i="17" s="1"/>
  <c r="J5" i="17" s="1"/>
  <c r="K5" i="17" s="1"/>
  <c r="L5" i="17" s="1"/>
  <c r="M5" i="17" s="1"/>
  <c r="N5" i="17" s="1"/>
  <c r="E7" i="17"/>
  <c r="F7" i="17"/>
  <c r="G7" i="17"/>
  <c r="H7" i="17"/>
  <c r="I7" i="17"/>
  <c r="J7" i="17"/>
  <c r="K7" i="17"/>
  <c r="L7" i="17"/>
  <c r="M7" i="17"/>
  <c r="N7" i="17"/>
  <c r="E8" i="17"/>
  <c r="F8" i="17"/>
  <c r="G8" i="17"/>
  <c r="H8" i="17"/>
  <c r="I8" i="17"/>
  <c r="J8" i="17"/>
  <c r="K8" i="17"/>
  <c r="L8" i="17"/>
  <c r="M8" i="17"/>
  <c r="N8" i="17"/>
  <c r="E9" i="17"/>
  <c r="F9" i="17"/>
  <c r="G9" i="17"/>
  <c r="H9" i="17"/>
  <c r="I9" i="17"/>
  <c r="J9" i="17"/>
  <c r="K9" i="17"/>
  <c r="L9" i="17"/>
  <c r="M9" i="17"/>
  <c r="N9" i="17"/>
  <c r="E10" i="17"/>
  <c r="F10" i="17"/>
  <c r="G10" i="17"/>
  <c r="H10" i="17"/>
  <c r="I10" i="17"/>
  <c r="J10" i="17"/>
  <c r="K10" i="17"/>
  <c r="L10" i="17"/>
  <c r="M10" i="17"/>
  <c r="N10" i="17"/>
  <c r="E11" i="17"/>
  <c r="F11" i="17"/>
  <c r="G11" i="17"/>
  <c r="H11" i="17"/>
  <c r="I11" i="17"/>
  <c r="J11" i="17"/>
  <c r="K11" i="17"/>
  <c r="L11" i="17"/>
  <c r="M11" i="17"/>
  <c r="N11" i="17"/>
  <c r="E13" i="17"/>
  <c r="F13" i="17"/>
  <c r="G13" i="17"/>
  <c r="H13" i="17"/>
  <c r="I13" i="17"/>
  <c r="J13" i="17"/>
  <c r="K13" i="17"/>
  <c r="L13" i="17"/>
  <c r="M13" i="17"/>
  <c r="N13" i="17"/>
  <c r="E15" i="17"/>
  <c r="F15" i="17"/>
  <c r="G15" i="17"/>
  <c r="H15" i="17"/>
  <c r="I15" i="17"/>
  <c r="J15" i="17"/>
  <c r="K15" i="17"/>
  <c r="L15" i="17"/>
  <c r="M15" i="17"/>
  <c r="N15" i="17"/>
  <c r="E16" i="17"/>
  <c r="F16" i="17"/>
  <c r="G16" i="17"/>
  <c r="H16" i="17"/>
  <c r="I16" i="17"/>
  <c r="J16" i="17"/>
  <c r="K16" i="17"/>
  <c r="L16" i="17"/>
  <c r="M16" i="17"/>
  <c r="N16" i="17"/>
  <c r="E17" i="17"/>
  <c r="F17" i="17"/>
  <c r="G17" i="17"/>
  <c r="H17" i="17"/>
  <c r="I17" i="17"/>
  <c r="J17" i="17"/>
  <c r="K17" i="17"/>
  <c r="L17" i="17"/>
  <c r="M17" i="17"/>
  <c r="N17" i="17"/>
  <c r="E18" i="17"/>
  <c r="F18" i="17"/>
  <c r="G18" i="17"/>
  <c r="H18" i="17"/>
  <c r="I18" i="17"/>
  <c r="J18" i="17"/>
  <c r="K18" i="17"/>
  <c r="L18" i="17"/>
  <c r="M18" i="17"/>
  <c r="N18" i="17"/>
  <c r="E20" i="17"/>
  <c r="F20" i="17"/>
  <c r="G20" i="17"/>
  <c r="G19" i="17" s="1"/>
  <c r="H20" i="17"/>
  <c r="I20" i="17"/>
  <c r="J20" i="17"/>
  <c r="K20" i="17"/>
  <c r="L20" i="17"/>
  <c r="M20" i="17"/>
  <c r="N20" i="17"/>
  <c r="E22" i="17"/>
  <c r="F22" i="17"/>
  <c r="G22" i="17"/>
  <c r="H22" i="17"/>
  <c r="I22" i="17"/>
  <c r="J22" i="17"/>
  <c r="K22" i="17"/>
  <c r="L22" i="17"/>
  <c r="M22" i="17"/>
  <c r="N22" i="17"/>
  <c r="E23" i="17"/>
  <c r="F23" i="17"/>
  <c r="G23" i="17"/>
  <c r="H23" i="17"/>
  <c r="I23" i="17"/>
  <c r="J23" i="17"/>
  <c r="K23" i="17"/>
  <c r="L23" i="17"/>
  <c r="M23" i="17"/>
  <c r="N23" i="17"/>
  <c r="E24" i="17"/>
  <c r="F24" i="17"/>
  <c r="G24" i="17"/>
  <c r="H24" i="17"/>
  <c r="I24" i="17"/>
  <c r="J24" i="17"/>
  <c r="K24" i="17"/>
  <c r="L24" i="17"/>
  <c r="M24" i="17"/>
  <c r="N24" i="17"/>
  <c r="E25" i="17"/>
  <c r="F25" i="17"/>
  <c r="G25" i="17"/>
  <c r="H25" i="17"/>
  <c r="I25" i="17"/>
  <c r="J25" i="17"/>
  <c r="K25" i="17"/>
  <c r="L25" i="17"/>
  <c r="M25" i="17"/>
  <c r="N25" i="17"/>
  <c r="E26" i="17"/>
  <c r="F26" i="17"/>
  <c r="G26" i="17"/>
  <c r="H26" i="17"/>
  <c r="I26" i="17"/>
  <c r="J26" i="17"/>
  <c r="K26" i="17"/>
  <c r="L26" i="17"/>
  <c r="M26" i="17"/>
  <c r="N26" i="17"/>
  <c r="E29" i="17"/>
  <c r="F29" i="17"/>
  <c r="G29" i="17"/>
  <c r="H29" i="17"/>
  <c r="I29" i="17"/>
  <c r="J29" i="17"/>
  <c r="K29" i="17"/>
  <c r="L29" i="17"/>
  <c r="M29" i="17"/>
  <c r="N29" i="17"/>
  <c r="E30" i="17"/>
  <c r="F30" i="17"/>
  <c r="G30" i="17"/>
  <c r="H30" i="17"/>
  <c r="I30" i="17"/>
  <c r="J30" i="17"/>
  <c r="K30" i="17"/>
  <c r="L30" i="17"/>
  <c r="M30" i="17"/>
  <c r="N30" i="17"/>
  <c r="E31" i="17"/>
  <c r="F31" i="17"/>
  <c r="G31" i="17"/>
  <c r="H31" i="17"/>
  <c r="I31" i="17"/>
  <c r="J31" i="17"/>
  <c r="K31" i="17"/>
  <c r="L31" i="17"/>
  <c r="M31" i="17"/>
  <c r="N31" i="17"/>
  <c r="E32" i="17"/>
  <c r="F32" i="17"/>
  <c r="G32" i="17"/>
  <c r="H32" i="17"/>
  <c r="I32" i="17"/>
  <c r="J32" i="17"/>
  <c r="K32" i="17"/>
  <c r="L32" i="17"/>
  <c r="M32" i="17"/>
  <c r="N32" i="17"/>
  <c r="E33" i="17"/>
  <c r="F33" i="17"/>
  <c r="G33" i="17"/>
  <c r="H33" i="17"/>
  <c r="I33" i="17"/>
  <c r="J33" i="17"/>
  <c r="K33" i="17"/>
  <c r="L33" i="17"/>
  <c r="M33" i="17"/>
  <c r="N33" i="17"/>
  <c r="E34" i="17"/>
  <c r="F34" i="17"/>
  <c r="G34" i="17"/>
  <c r="H34" i="17"/>
  <c r="I34" i="17"/>
  <c r="J34" i="17"/>
  <c r="K34" i="17"/>
  <c r="L34" i="17"/>
  <c r="M34" i="17"/>
  <c r="N34" i="17"/>
  <c r="E39" i="17"/>
  <c r="F39" i="17"/>
  <c r="G39" i="17"/>
  <c r="H39" i="17"/>
  <c r="I39" i="17"/>
  <c r="J39" i="17"/>
  <c r="K39" i="17"/>
  <c r="L39" i="17"/>
  <c r="M39" i="17"/>
  <c r="N39" i="17"/>
  <c r="E43" i="17"/>
  <c r="F43" i="17"/>
  <c r="G43" i="17"/>
  <c r="H43" i="17"/>
  <c r="I43" i="17"/>
  <c r="J43" i="17"/>
  <c r="K43" i="17"/>
  <c r="L43" i="17"/>
  <c r="M43" i="17"/>
  <c r="N43" i="17"/>
  <c r="C1" i="16"/>
  <c r="D2" i="16"/>
  <c r="E5" i="16"/>
  <c r="F5" i="16" s="1"/>
  <c r="G5" i="16" s="1"/>
  <c r="H5" i="16" s="1"/>
  <c r="I5" i="16" s="1"/>
  <c r="J5" i="16" s="1"/>
  <c r="K5" i="16" s="1"/>
  <c r="L5" i="16" s="1"/>
  <c r="M5" i="16" s="1"/>
  <c r="N5" i="16" s="1"/>
  <c r="E7" i="16"/>
  <c r="F7" i="16"/>
  <c r="G7" i="16"/>
  <c r="H7" i="16"/>
  <c r="I7" i="16"/>
  <c r="J7" i="16"/>
  <c r="K7" i="16"/>
  <c r="L7" i="16"/>
  <c r="M7" i="16"/>
  <c r="N7" i="16"/>
  <c r="E8" i="16"/>
  <c r="F8" i="16"/>
  <c r="G8" i="16"/>
  <c r="H8" i="16"/>
  <c r="I8" i="16"/>
  <c r="J8" i="16"/>
  <c r="K8" i="16"/>
  <c r="L8" i="16"/>
  <c r="M8" i="16"/>
  <c r="N8" i="16"/>
  <c r="E9" i="16"/>
  <c r="F9" i="16"/>
  <c r="G9" i="16"/>
  <c r="H9" i="16"/>
  <c r="I9" i="16"/>
  <c r="J9" i="16"/>
  <c r="K9" i="16"/>
  <c r="L9" i="16"/>
  <c r="M9" i="16"/>
  <c r="N9" i="16"/>
  <c r="E10" i="16"/>
  <c r="F10" i="16"/>
  <c r="G10" i="16"/>
  <c r="H10" i="16"/>
  <c r="I10" i="16"/>
  <c r="J10" i="16"/>
  <c r="K10" i="16"/>
  <c r="L10" i="16"/>
  <c r="M10" i="16"/>
  <c r="N10" i="16"/>
  <c r="E11" i="16"/>
  <c r="F11" i="16"/>
  <c r="G11" i="16"/>
  <c r="H11" i="16"/>
  <c r="I11" i="16"/>
  <c r="J11" i="16"/>
  <c r="K11" i="16"/>
  <c r="L11" i="16"/>
  <c r="M11" i="16"/>
  <c r="N11" i="16"/>
  <c r="E13" i="16"/>
  <c r="F13" i="16"/>
  <c r="G13" i="16"/>
  <c r="H13" i="16"/>
  <c r="I13" i="16"/>
  <c r="J13" i="16"/>
  <c r="K13" i="16"/>
  <c r="L13" i="16"/>
  <c r="M13" i="16"/>
  <c r="N13" i="16"/>
  <c r="E15" i="16"/>
  <c r="F15" i="16"/>
  <c r="G15" i="16"/>
  <c r="H15" i="16"/>
  <c r="I15" i="16"/>
  <c r="J15" i="16"/>
  <c r="K15" i="16"/>
  <c r="L15" i="16"/>
  <c r="M15" i="16"/>
  <c r="N15" i="16"/>
  <c r="E16" i="16"/>
  <c r="F16" i="16"/>
  <c r="G16" i="16"/>
  <c r="H16" i="16"/>
  <c r="I16" i="16"/>
  <c r="J16" i="16"/>
  <c r="K16" i="16"/>
  <c r="L16" i="16"/>
  <c r="M16" i="16"/>
  <c r="N16" i="16"/>
  <c r="E17" i="16"/>
  <c r="F17" i="16"/>
  <c r="G17" i="16"/>
  <c r="H17" i="16"/>
  <c r="I17" i="16"/>
  <c r="J17" i="16"/>
  <c r="K17" i="16"/>
  <c r="L17" i="16"/>
  <c r="M17" i="16"/>
  <c r="N17" i="16"/>
  <c r="E18" i="16"/>
  <c r="F18" i="16"/>
  <c r="G18" i="16"/>
  <c r="H18" i="16"/>
  <c r="I18" i="16"/>
  <c r="J18" i="16"/>
  <c r="K18" i="16"/>
  <c r="L18" i="16"/>
  <c r="M18" i="16"/>
  <c r="N18" i="16"/>
  <c r="E20" i="16"/>
  <c r="F20" i="16"/>
  <c r="G20" i="16"/>
  <c r="H20" i="16"/>
  <c r="H19" i="16" s="1"/>
  <c r="I20" i="16"/>
  <c r="J20" i="16"/>
  <c r="K20" i="16"/>
  <c r="L20" i="16"/>
  <c r="M20" i="16"/>
  <c r="N20" i="16"/>
  <c r="E22" i="16"/>
  <c r="F22" i="16"/>
  <c r="G22" i="16"/>
  <c r="H22" i="16"/>
  <c r="I22" i="16"/>
  <c r="J22" i="16"/>
  <c r="K22" i="16"/>
  <c r="L22" i="16"/>
  <c r="M22" i="16"/>
  <c r="N22" i="16"/>
  <c r="E23" i="16"/>
  <c r="F23" i="16"/>
  <c r="G23" i="16"/>
  <c r="H23" i="16"/>
  <c r="I23" i="16"/>
  <c r="J23" i="16"/>
  <c r="K23" i="16"/>
  <c r="L23" i="16"/>
  <c r="M23" i="16"/>
  <c r="N23" i="16"/>
  <c r="E24" i="16"/>
  <c r="F24" i="16"/>
  <c r="G24" i="16"/>
  <c r="H24" i="16"/>
  <c r="I24" i="16"/>
  <c r="J24" i="16"/>
  <c r="K24" i="16"/>
  <c r="L24" i="16"/>
  <c r="M24" i="16"/>
  <c r="N24" i="16"/>
  <c r="E25" i="16"/>
  <c r="F25" i="16"/>
  <c r="G25" i="16"/>
  <c r="H25" i="16"/>
  <c r="I25" i="16"/>
  <c r="J25" i="16"/>
  <c r="K25" i="16"/>
  <c r="L25" i="16"/>
  <c r="M25" i="16"/>
  <c r="N25" i="16"/>
  <c r="E27" i="16"/>
  <c r="F27" i="16"/>
  <c r="G27" i="16"/>
  <c r="H27" i="16"/>
  <c r="I27" i="16"/>
  <c r="J27" i="16"/>
  <c r="J26" i="16" s="1"/>
  <c r="K27" i="16"/>
  <c r="L27" i="16"/>
  <c r="M27" i="16"/>
  <c r="N27" i="16"/>
  <c r="N26" i="16" s="1"/>
  <c r="E29" i="16"/>
  <c r="F29" i="16"/>
  <c r="G29" i="16"/>
  <c r="H29" i="16"/>
  <c r="I29" i="16"/>
  <c r="J29" i="16"/>
  <c r="K29" i="16"/>
  <c r="L29" i="16"/>
  <c r="M29" i="16"/>
  <c r="N29" i="16"/>
  <c r="E30" i="16"/>
  <c r="F30" i="16"/>
  <c r="G30" i="16"/>
  <c r="H30" i="16"/>
  <c r="I30" i="16"/>
  <c r="J30" i="16"/>
  <c r="K30" i="16"/>
  <c r="L30" i="16"/>
  <c r="M30" i="16"/>
  <c r="N30" i="16"/>
  <c r="E31" i="16"/>
  <c r="F31" i="16"/>
  <c r="G31" i="16"/>
  <c r="H31" i="16"/>
  <c r="I31" i="16"/>
  <c r="J31" i="16"/>
  <c r="K31" i="16"/>
  <c r="L31" i="16"/>
  <c r="M31" i="16"/>
  <c r="N31" i="16"/>
  <c r="E32" i="16"/>
  <c r="F32" i="16"/>
  <c r="G32" i="16"/>
  <c r="H32" i="16"/>
  <c r="I32" i="16"/>
  <c r="J32" i="16"/>
  <c r="K32" i="16"/>
  <c r="L32" i="16"/>
  <c r="M32" i="16"/>
  <c r="N32" i="16"/>
  <c r="E33" i="16"/>
  <c r="F33" i="16"/>
  <c r="G33" i="16"/>
  <c r="H33" i="16"/>
  <c r="I33" i="16"/>
  <c r="J33" i="16"/>
  <c r="K33" i="16"/>
  <c r="L33" i="16"/>
  <c r="M33" i="16"/>
  <c r="N33" i="16"/>
  <c r="E35" i="16"/>
  <c r="F35" i="16"/>
  <c r="F34" i="16" s="1"/>
  <c r="G35" i="16"/>
  <c r="H35" i="16"/>
  <c r="I35" i="16"/>
  <c r="J35" i="16"/>
  <c r="J34" i="16" s="1"/>
  <c r="K35" i="16"/>
  <c r="L35" i="16"/>
  <c r="M35" i="16"/>
  <c r="N35" i="16"/>
  <c r="N34" i="16" s="1"/>
  <c r="E39" i="16"/>
  <c r="F39" i="16"/>
  <c r="G39" i="16"/>
  <c r="H39" i="16"/>
  <c r="I39" i="16"/>
  <c r="J39" i="16"/>
  <c r="K39" i="16"/>
  <c r="L39" i="16"/>
  <c r="M39" i="16"/>
  <c r="N39" i="16"/>
  <c r="E43" i="16"/>
  <c r="F43" i="16"/>
  <c r="G43" i="16"/>
  <c r="H43" i="16"/>
  <c r="I43" i="16"/>
  <c r="J43" i="16"/>
  <c r="K43" i="16"/>
  <c r="L43" i="16"/>
  <c r="M43" i="16"/>
  <c r="N43" i="16"/>
  <c r="C1" i="25"/>
  <c r="D2" i="25"/>
  <c r="E5" i="25"/>
  <c r="F5" i="25" s="1"/>
  <c r="G5" i="25" s="1"/>
  <c r="H5" i="25" s="1"/>
  <c r="I5" i="25" s="1"/>
  <c r="J5" i="25" s="1"/>
  <c r="K5" i="25" s="1"/>
  <c r="L5" i="25" s="1"/>
  <c r="M5" i="25" s="1"/>
  <c r="N5" i="25" s="1"/>
  <c r="E7" i="25"/>
  <c r="F7" i="25"/>
  <c r="G7" i="25"/>
  <c r="H7" i="25"/>
  <c r="I7" i="25"/>
  <c r="J7" i="25"/>
  <c r="K7" i="25"/>
  <c r="L7" i="25"/>
  <c r="M7" i="25"/>
  <c r="N7" i="25"/>
  <c r="E8" i="25"/>
  <c r="F8" i="25"/>
  <c r="G8" i="25"/>
  <c r="H8" i="25"/>
  <c r="I8" i="25"/>
  <c r="J8" i="25"/>
  <c r="K8" i="25"/>
  <c r="L8" i="25"/>
  <c r="M8" i="25"/>
  <c r="N8" i="25"/>
  <c r="E11" i="25"/>
  <c r="F11" i="25"/>
  <c r="G11" i="25"/>
  <c r="H11" i="25"/>
  <c r="I11" i="25"/>
  <c r="J11" i="25"/>
  <c r="K11" i="25"/>
  <c r="L11" i="25"/>
  <c r="M11" i="25"/>
  <c r="N11" i="25"/>
  <c r="E12" i="25"/>
  <c r="F12" i="25"/>
  <c r="G12" i="25"/>
  <c r="H12" i="25"/>
  <c r="I12" i="25"/>
  <c r="J12" i="25"/>
  <c r="K12" i="25"/>
  <c r="L12" i="25"/>
  <c r="M12" i="25"/>
  <c r="N12" i="25"/>
  <c r="E15" i="25"/>
  <c r="F15" i="25"/>
  <c r="G15" i="25"/>
  <c r="H15" i="25"/>
  <c r="I15" i="25"/>
  <c r="J15" i="25"/>
  <c r="K15" i="25"/>
  <c r="L15" i="25"/>
  <c r="M15" i="25"/>
  <c r="N15" i="25"/>
  <c r="E16" i="25"/>
  <c r="F16" i="25"/>
  <c r="G16" i="25"/>
  <c r="H16" i="25"/>
  <c r="I16" i="25"/>
  <c r="J16" i="25"/>
  <c r="K16" i="25"/>
  <c r="L16" i="25"/>
  <c r="M16" i="25"/>
  <c r="N16" i="25"/>
  <c r="E19" i="25"/>
  <c r="F19" i="25"/>
  <c r="G19" i="25"/>
  <c r="H19" i="25"/>
  <c r="I19" i="25"/>
  <c r="J19" i="25"/>
  <c r="K19" i="25"/>
  <c r="L19" i="25"/>
  <c r="M19" i="25"/>
  <c r="N19" i="25"/>
  <c r="E20" i="25"/>
  <c r="F20" i="25"/>
  <c r="G20" i="25"/>
  <c r="H20" i="25"/>
  <c r="I20" i="25"/>
  <c r="J20" i="25"/>
  <c r="K20" i="25"/>
  <c r="L20" i="25"/>
  <c r="M20" i="25"/>
  <c r="N20" i="25"/>
  <c r="E23" i="25"/>
  <c r="F23" i="25"/>
  <c r="G23" i="25"/>
  <c r="H23" i="25"/>
  <c r="I23" i="25"/>
  <c r="J23" i="25"/>
  <c r="K23" i="25"/>
  <c r="L23" i="25"/>
  <c r="M23" i="25"/>
  <c r="N23" i="25"/>
  <c r="E24" i="25"/>
  <c r="F24" i="25"/>
  <c r="G24" i="25"/>
  <c r="H24" i="25"/>
  <c r="I24" i="25"/>
  <c r="J24" i="25"/>
  <c r="K24" i="25"/>
  <c r="L24" i="25"/>
  <c r="M24" i="25"/>
  <c r="N24" i="25"/>
  <c r="E29" i="25"/>
  <c r="F29" i="25" s="1"/>
  <c r="G29" i="25" s="1"/>
  <c r="H29" i="25" s="1"/>
  <c r="I29" i="25" s="1"/>
  <c r="J29" i="25" s="1"/>
  <c r="K29" i="25" s="1"/>
  <c r="L29" i="25" s="1"/>
  <c r="M29" i="25" s="1"/>
  <c r="N29" i="25" s="1"/>
  <c r="E31" i="25"/>
  <c r="F31" i="25"/>
  <c r="G31" i="25"/>
  <c r="H31" i="25"/>
  <c r="I31" i="25"/>
  <c r="I33" i="25" s="1"/>
  <c r="J31" i="25"/>
  <c r="K31" i="25"/>
  <c r="L31" i="25"/>
  <c r="M31" i="25"/>
  <c r="N31" i="25"/>
  <c r="E32" i="25"/>
  <c r="F32" i="25"/>
  <c r="H32" i="25"/>
  <c r="J32" i="25"/>
  <c r="L32" i="25"/>
  <c r="N32" i="25"/>
  <c r="E35" i="25"/>
  <c r="F35" i="25"/>
  <c r="G35" i="25"/>
  <c r="H35" i="25"/>
  <c r="I35" i="25"/>
  <c r="J35" i="25"/>
  <c r="K35" i="25"/>
  <c r="L35" i="25"/>
  <c r="M35" i="25"/>
  <c r="N35" i="25"/>
  <c r="E36" i="25"/>
  <c r="F36" i="25"/>
  <c r="G36" i="25"/>
  <c r="H36" i="25"/>
  <c r="I36" i="25"/>
  <c r="J36" i="25"/>
  <c r="K36" i="25"/>
  <c r="L36" i="25"/>
  <c r="M36" i="25"/>
  <c r="N36" i="25"/>
  <c r="E39" i="25"/>
  <c r="F39" i="25"/>
  <c r="G39" i="25"/>
  <c r="H39" i="25"/>
  <c r="I39" i="25"/>
  <c r="J39" i="25"/>
  <c r="K39" i="25"/>
  <c r="L39" i="25"/>
  <c r="M39" i="25"/>
  <c r="N39" i="25"/>
  <c r="E40" i="25"/>
  <c r="F40" i="25"/>
  <c r="G40" i="25"/>
  <c r="H40" i="25"/>
  <c r="I40" i="25"/>
  <c r="J40" i="25"/>
  <c r="K40" i="25"/>
  <c r="L40" i="25"/>
  <c r="M40" i="25"/>
  <c r="N40" i="25"/>
  <c r="E43" i="25"/>
  <c r="F43" i="25"/>
  <c r="G43" i="25"/>
  <c r="H43" i="25"/>
  <c r="I43" i="25"/>
  <c r="J43" i="25"/>
  <c r="K43" i="25"/>
  <c r="L43" i="25"/>
  <c r="M43" i="25"/>
  <c r="N43" i="25"/>
  <c r="E44" i="25"/>
  <c r="F44" i="25"/>
  <c r="G44" i="25"/>
  <c r="H44" i="25"/>
  <c r="I44" i="25"/>
  <c r="J44" i="25"/>
  <c r="K44" i="25"/>
  <c r="L44" i="25"/>
  <c r="M44" i="25"/>
  <c r="N44" i="25"/>
  <c r="E47" i="25"/>
  <c r="F47" i="25"/>
  <c r="G47" i="25"/>
  <c r="H47" i="25"/>
  <c r="I47" i="25"/>
  <c r="J47" i="25"/>
  <c r="K47" i="25"/>
  <c r="L47" i="25"/>
  <c r="M47" i="25"/>
  <c r="N47" i="25"/>
  <c r="E48" i="25"/>
  <c r="F48" i="25"/>
  <c r="G48" i="25"/>
  <c r="H48" i="25"/>
  <c r="I48" i="25"/>
  <c r="J48" i="25"/>
  <c r="K48" i="25"/>
  <c r="L48" i="25"/>
  <c r="M48" i="25"/>
  <c r="N48" i="25"/>
  <c r="C1" i="14"/>
  <c r="D2" i="14"/>
  <c r="E5" i="14"/>
  <c r="F5" i="14" s="1"/>
  <c r="G5" i="14" s="1"/>
  <c r="H5" i="14" s="1"/>
  <c r="I5" i="14" s="1"/>
  <c r="J5" i="14" s="1"/>
  <c r="K5" i="14" s="1"/>
  <c r="L5" i="14" s="1"/>
  <c r="M5" i="14" s="1"/>
  <c r="N5" i="14" s="1"/>
  <c r="E7" i="14"/>
  <c r="F7" i="14"/>
  <c r="G7" i="14"/>
  <c r="H7" i="14"/>
  <c r="I7" i="14"/>
  <c r="J7" i="14"/>
  <c r="K7" i="14"/>
  <c r="L7" i="14"/>
  <c r="M7" i="14"/>
  <c r="N7" i="14"/>
  <c r="E8" i="14"/>
  <c r="F8" i="14"/>
  <c r="G8" i="14"/>
  <c r="H8" i="14"/>
  <c r="I8" i="14"/>
  <c r="J8" i="14"/>
  <c r="K8" i="14"/>
  <c r="L8" i="14"/>
  <c r="M8" i="14"/>
  <c r="N8" i="14"/>
  <c r="E11" i="14"/>
  <c r="F11" i="14"/>
  <c r="G11" i="14"/>
  <c r="H11" i="14"/>
  <c r="I11" i="14"/>
  <c r="J11" i="14"/>
  <c r="K11" i="14"/>
  <c r="L11" i="14"/>
  <c r="M11" i="14"/>
  <c r="N11" i="14"/>
  <c r="E12" i="14"/>
  <c r="F12" i="14"/>
  <c r="G12" i="14"/>
  <c r="H12" i="14"/>
  <c r="I12" i="14"/>
  <c r="J12" i="14"/>
  <c r="K12" i="14"/>
  <c r="L12" i="14"/>
  <c r="M12" i="14"/>
  <c r="N12" i="14"/>
  <c r="E15" i="14"/>
  <c r="F15" i="14"/>
  <c r="G15" i="14"/>
  <c r="H15" i="14"/>
  <c r="I15" i="14"/>
  <c r="J15" i="14"/>
  <c r="K15" i="14"/>
  <c r="L15" i="14"/>
  <c r="M15" i="14"/>
  <c r="N15" i="14"/>
  <c r="E16" i="14"/>
  <c r="F16" i="14"/>
  <c r="G16" i="14"/>
  <c r="H16" i="14"/>
  <c r="I16" i="14"/>
  <c r="J16" i="14"/>
  <c r="K16" i="14"/>
  <c r="L16" i="14"/>
  <c r="M16" i="14"/>
  <c r="N16" i="14"/>
  <c r="E19" i="14"/>
  <c r="F19" i="14"/>
  <c r="G19" i="14"/>
  <c r="H19" i="14"/>
  <c r="I19" i="14"/>
  <c r="J19" i="14"/>
  <c r="K19" i="14"/>
  <c r="L19" i="14"/>
  <c r="M19" i="14"/>
  <c r="N19" i="14"/>
  <c r="E20" i="14"/>
  <c r="F20" i="14"/>
  <c r="G20" i="14"/>
  <c r="H20" i="14"/>
  <c r="I20" i="14"/>
  <c r="J20" i="14"/>
  <c r="K20" i="14"/>
  <c r="L20" i="14"/>
  <c r="M20" i="14"/>
  <c r="N20" i="14"/>
  <c r="E23" i="14"/>
  <c r="F23" i="14"/>
  <c r="G23" i="14"/>
  <c r="H23" i="14"/>
  <c r="I23" i="14"/>
  <c r="J23" i="14"/>
  <c r="K23" i="14"/>
  <c r="L23" i="14"/>
  <c r="M23" i="14"/>
  <c r="N23" i="14"/>
  <c r="E24" i="14"/>
  <c r="F24" i="14"/>
  <c r="G24" i="14"/>
  <c r="H24" i="14"/>
  <c r="I24" i="14"/>
  <c r="J24" i="14"/>
  <c r="K24" i="14"/>
  <c r="L24" i="14"/>
  <c r="M24" i="14"/>
  <c r="N24" i="14"/>
  <c r="E29" i="14"/>
  <c r="F29" i="14" s="1"/>
  <c r="G29" i="14" s="1"/>
  <c r="H29" i="14" s="1"/>
  <c r="I29" i="14" s="1"/>
  <c r="J29" i="14" s="1"/>
  <c r="K29" i="14" s="1"/>
  <c r="L29" i="14" s="1"/>
  <c r="M29" i="14" s="1"/>
  <c r="N29" i="14" s="1"/>
  <c r="E31" i="14"/>
  <c r="F31" i="14"/>
  <c r="G31" i="14"/>
  <c r="H31" i="14"/>
  <c r="I31" i="14"/>
  <c r="J31" i="14"/>
  <c r="K31" i="14"/>
  <c r="L31" i="14"/>
  <c r="M31" i="14"/>
  <c r="N31" i="14"/>
  <c r="E32" i="14"/>
  <c r="F32" i="14"/>
  <c r="H32" i="14"/>
  <c r="J32" i="14"/>
  <c r="L32" i="14"/>
  <c r="N32" i="14"/>
  <c r="E35" i="14"/>
  <c r="F35" i="14"/>
  <c r="G35" i="14"/>
  <c r="H35" i="14"/>
  <c r="I35" i="14"/>
  <c r="J35" i="14"/>
  <c r="K35" i="14"/>
  <c r="L35" i="14"/>
  <c r="M35" i="14"/>
  <c r="N35" i="14"/>
  <c r="E36" i="14"/>
  <c r="F36" i="14"/>
  <c r="G36" i="14"/>
  <c r="H36" i="14"/>
  <c r="I36" i="14"/>
  <c r="J36" i="14"/>
  <c r="K36" i="14"/>
  <c r="L36" i="14"/>
  <c r="M36" i="14"/>
  <c r="N36" i="14"/>
  <c r="E39" i="14"/>
  <c r="F39" i="14"/>
  <c r="G39" i="14"/>
  <c r="H39" i="14"/>
  <c r="I39" i="14"/>
  <c r="J39" i="14"/>
  <c r="K39" i="14"/>
  <c r="L39" i="14"/>
  <c r="M39" i="14"/>
  <c r="N39" i="14"/>
  <c r="E40" i="14"/>
  <c r="F40" i="14"/>
  <c r="G40" i="14"/>
  <c r="H40" i="14"/>
  <c r="I40" i="14"/>
  <c r="J40" i="14"/>
  <c r="K40" i="14"/>
  <c r="L40" i="14"/>
  <c r="M40" i="14"/>
  <c r="N40" i="14"/>
  <c r="E43" i="14"/>
  <c r="F43" i="14"/>
  <c r="G43" i="14"/>
  <c r="H43" i="14"/>
  <c r="I43" i="14"/>
  <c r="J43" i="14"/>
  <c r="K43" i="14"/>
  <c r="L43" i="14"/>
  <c r="M43" i="14"/>
  <c r="N43" i="14"/>
  <c r="E44" i="14"/>
  <c r="F44" i="14"/>
  <c r="G44" i="14"/>
  <c r="H44" i="14"/>
  <c r="I44" i="14"/>
  <c r="J44" i="14"/>
  <c r="K44" i="14"/>
  <c r="L44" i="14"/>
  <c r="M44" i="14"/>
  <c r="N44" i="14"/>
  <c r="E47" i="14"/>
  <c r="F47" i="14"/>
  <c r="G47" i="14"/>
  <c r="H47" i="14"/>
  <c r="I47" i="14"/>
  <c r="J47" i="14"/>
  <c r="K47" i="14"/>
  <c r="L47" i="14"/>
  <c r="M47" i="14"/>
  <c r="N47" i="14"/>
  <c r="E48" i="14"/>
  <c r="F48" i="14"/>
  <c r="G48" i="14"/>
  <c r="H48" i="14"/>
  <c r="I48" i="14"/>
  <c r="J48" i="14"/>
  <c r="K48" i="14"/>
  <c r="L48" i="14"/>
  <c r="M48" i="14"/>
  <c r="N48" i="14"/>
  <c r="C1" i="13"/>
  <c r="E5" i="13"/>
  <c r="F5" i="13" s="1"/>
  <c r="G5" i="13" s="1"/>
  <c r="H5" i="13" s="1"/>
  <c r="I5" i="13" s="1"/>
  <c r="J5" i="13" s="1"/>
  <c r="K5" i="13" s="1"/>
  <c r="L5" i="13" s="1"/>
  <c r="M5" i="13" s="1"/>
  <c r="N5" i="13" s="1"/>
  <c r="E7" i="13"/>
  <c r="F7" i="13"/>
  <c r="G7" i="13"/>
  <c r="H7" i="13"/>
  <c r="I7" i="13"/>
  <c r="J7" i="13"/>
  <c r="K7" i="13"/>
  <c r="L7" i="13"/>
  <c r="M7" i="13"/>
  <c r="N7" i="13"/>
  <c r="E9" i="13"/>
  <c r="F9" i="13"/>
  <c r="G9" i="13"/>
  <c r="H9" i="13"/>
  <c r="I9" i="13"/>
  <c r="J9" i="13"/>
  <c r="K9" i="13"/>
  <c r="L9" i="13"/>
  <c r="M9" i="13"/>
  <c r="N9" i="13"/>
  <c r="E12" i="13"/>
  <c r="F12" i="13"/>
  <c r="G12" i="13"/>
  <c r="G13" i="13" s="1"/>
  <c r="H12" i="13"/>
  <c r="I12" i="13"/>
  <c r="J12" i="13"/>
  <c r="K12" i="13"/>
  <c r="K13" i="13" s="1"/>
  <c r="L12" i="13"/>
  <c r="M12" i="13"/>
  <c r="N12" i="13"/>
  <c r="E15" i="13"/>
  <c r="F15" i="13"/>
  <c r="G15" i="13"/>
  <c r="H15" i="13"/>
  <c r="I15" i="13"/>
  <c r="J15" i="13"/>
  <c r="K15" i="13"/>
  <c r="L15" i="13"/>
  <c r="M15" i="13"/>
  <c r="N15" i="13"/>
  <c r="E20" i="13"/>
  <c r="F20" i="13"/>
  <c r="G20" i="13"/>
  <c r="H20" i="13"/>
  <c r="H22" i="13" s="1"/>
  <c r="I20" i="13"/>
  <c r="I21" i="13" s="1"/>
  <c r="J20" i="13"/>
  <c r="K20" i="13"/>
  <c r="L20" i="13"/>
  <c r="L22" i="13" s="1"/>
  <c r="M20" i="13"/>
  <c r="N20" i="13"/>
  <c r="I33" i="7"/>
  <c r="J26" i="20"/>
  <c r="I13" i="13"/>
  <c r="I33" i="6"/>
  <c r="I32" i="14"/>
  <c r="M32" i="25"/>
  <c r="M33" i="7"/>
  <c r="M33" i="6"/>
  <c r="M36" i="6" s="1"/>
  <c r="E33" i="7"/>
  <c r="M32" i="14"/>
  <c r="N35" i="19" l="1"/>
  <c r="N19" i="18"/>
  <c r="N30" i="4"/>
  <c r="M34" i="18"/>
  <c r="L16" i="13"/>
  <c r="K27" i="19"/>
  <c r="K33" i="23"/>
  <c r="K19" i="17"/>
  <c r="K19" i="18"/>
  <c r="K15" i="12"/>
  <c r="K30" i="4"/>
  <c r="K36" i="3"/>
  <c r="K26" i="11" s="1"/>
  <c r="K24" i="3"/>
  <c r="K10" i="4"/>
  <c r="J30" i="4"/>
  <c r="I34" i="18"/>
  <c r="G27" i="19"/>
  <c r="G26" i="18"/>
  <c r="G33" i="23"/>
  <c r="G26" i="20"/>
  <c r="O7" i="18"/>
  <c r="G15" i="12"/>
  <c r="G21" i="13"/>
  <c r="F30" i="5"/>
  <c r="F19" i="5"/>
  <c r="F12" i="12"/>
  <c r="E19" i="16"/>
  <c r="E24" i="20"/>
  <c r="E15" i="8"/>
  <c r="I29" i="6"/>
  <c r="L29" i="3"/>
  <c r="J29" i="7"/>
  <c r="L30" i="4"/>
  <c r="L15" i="4"/>
  <c r="L13" i="13"/>
  <c r="H26" i="18"/>
  <c r="E29" i="2"/>
  <c r="J15" i="5"/>
  <c r="K24" i="6"/>
  <c r="N10" i="4"/>
  <c r="E33" i="25"/>
  <c r="E37" i="25" s="1"/>
  <c r="E41" i="25" s="1"/>
  <c r="O17" i="16"/>
  <c r="N24" i="3"/>
  <c r="E13" i="13"/>
  <c r="J24" i="2"/>
  <c r="H13" i="7"/>
  <c r="J10" i="4"/>
  <c r="M13" i="13"/>
  <c r="J36" i="6"/>
  <c r="N26" i="20"/>
  <c r="N19" i="4"/>
  <c r="M26" i="20"/>
  <c r="H34" i="18"/>
  <c r="E25" i="20"/>
  <c r="M24" i="7"/>
  <c r="E15" i="4"/>
  <c r="N36" i="3"/>
  <c r="N27" i="11" s="1"/>
  <c r="L13" i="7"/>
  <c r="M16" i="13"/>
  <c r="J15" i="12"/>
  <c r="N28" i="11"/>
  <c r="F29" i="7"/>
  <c r="L24" i="7"/>
  <c r="H24" i="7"/>
  <c r="N37" i="18"/>
  <c r="N41" i="18" s="1"/>
  <c r="N45" i="18" s="1"/>
  <c r="H13" i="13"/>
  <c r="K34" i="18"/>
  <c r="E30" i="5"/>
  <c r="I19" i="2"/>
  <c r="M33" i="25"/>
  <c r="M37" i="25" s="1"/>
  <c r="M41" i="25" s="1"/>
  <c r="M45" i="25" s="1"/>
  <c r="M49" i="25" s="1"/>
  <c r="H19" i="18"/>
  <c r="L30" i="8"/>
  <c r="K30" i="5"/>
  <c r="G30" i="5"/>
  <c r="I19" i="5"/>
  <c r="M15" i="5"/>
  <c r="I15" i="5"/>
  <c r="O22" i="17"/>
  <c r="G29" i="3"/>
  <c r="K13" i="3"/>
  <c r="K26" i="4"/>
  <c r="M10" i="9"/>
  <c r="F16" i="12"/>
  <c r="G19" i="7"/>
  <c r="K36" i="4"/>
  <c r="L36" i="5"/>
  <c r="N26" i="5"/>
  <c r="I37" i="25"/>
  <c r="I41" i="25" s="1"/>
  <c r="I45" i="25" s="1"/>
  <c r="I49" i="25" s="1"/>
  <c r="N25" i="20"/>
  <c r="J25" i="20"/>
  <c r="F25" i="20"/>
  <c r="F20" i="12"/>
  <c r="F21" i="12"/>
  <c r="I36" i="2"/>
  <c r="N13" i="6"/>
  <c r="I36" i="3"/>
  <c r="K19" i="3"/>
  <c r="E19" i="3"/>
  <c r="O12" i="3"/>
  <c r="M13" i="3"/>
  <c r="I13" i="3"/>
  <c r="M36" i="4"/>
  <c r="I36" i="4"/>
  <c r="G36" i="4"/>
  <c r="G26" i="4"/>
  <c r="M26" i="4"/>
  <c r="I26" i="4"/>
  <c r="E26" i="4"/>
  <c r="M10" i="4"/>
  <c r="O7" i="4"/>
  <c r="K36" i="8"/>
  <c r="G36" i="8"/>
  <c r="M36" i="8"/>
  <c r="O25" i="8"/>
  <c r="M15" i="8"/>
  <c r="F26" i="5"/>
  <c r="N10" i="5"/>
  <c r="K36" i="9"/>
  <c r="G36" i="9"/>
  <c r="K26" i="9"/>
  <c r="N17" i="12"/>
  <c r="F15" i="12"/>
  <c r="O20" i="13"/>
  <c r="K29" i="13"/>
  <c r="E27" i="20"/>
  <c r="F33" i="23"/>
  <c r="E24" i="2"/>
  <c r="E19" i="2"/>
  <c r="G13" i="2"/>
  <c r="N24" i="6"/>
  <c r="H13" i="6"/>
  <c r="E36" i="3"/>
  <c r="E27" i="11" s="1"/>
  <c r="K29" i="3"/>
  <c r="O22" i="4"/>
  <c r="M33" i="22"/>
  <c r="I33" i="22"/>
  <c r="E33" i="22"/>
  <c r="K33" i="22"/>
  <c r="K28" i="11"/>
  <c r="I28" i="11"/>
  <c r="I27" i="11"/>
  <c r="K16" i="13"/>
  <c r="N15" i="12"/>
  <c r="F10" i="13"/>
  <c r="J33" i="14"/>
  <c r="J37" i="14" s="1"/>
  <c r="J41" i="14" s="1"/>
  <c r="J45" i="14" s="1"/>
  <c r="J49" i="14" s="1"/>
  <c r="O11" i="14"/>
  <c r="N9" i="25"/>
  <c r="N13" i="25" s="1"/>
  <c r="N17" i="25" s="1"/>
  <c r="N21" i="25" s="1"/>
  <c r="N25" i="25" s="1"/>
  <c r="J9" i="25"/>
  <c r="J13" i="25" s="1"/>
  <c r="J17" i="25" s="1"/>
  <c r="J21" i="25" s="1"/>
  <c r="J25" i="25" s="1"/>
  <c r="F9" i="25"/>
  <c r="F13" i="25" s="1"/>
  <c r="F17" i="25" s="1"/>
  <c r="F21" i="25" s="1"/>
  <c r="F25" i="25" s="1"/>
  <c r="I26" i="16"/>
  <c r="E26" i="16"/>
  <c r="K26" i="16"/>
  <c r="K19" i="16"/>
  <c r="G19" i="16"/>
  <c r="I19" i="16"/>
  <c r="N19" i="17"/>
  <c r="J19" i="17"/>
  <c r="H16" i="12"/>
  <c r="K25" i="13"/>
  <c r="K26" i="13" s="1"/>
  <c r="G29" i="13"/>
  <c r="M17" i="13"/>
  <c r="I16" i="13"/>
  <c r="E16" i="13"/>
  <c r="I10" i="13"/>
  <c r="E10" i="13"/>
  <c r="M9" i="14"/>
  <c r="M32" i="20" s="1"/>
  <c r="I9" i="14"/>
  <c r="I32" i="20" s="1"/>
  <c r="I33" i="20" s="1"/>
  <c r="I36" i="20" s="1"/>
  <c r="O20" i="17"/>
  <c r="L33" i="14"/>
  <c r="L37" i="14" s="1"/>
  <c r="L41" i="14" s="1"/>
  <c r="L45" i="14" s="1"/>
  <c r="L49" i="14" s="1"/>
  <c r="O15" i="17"/>
  <c r="O8" i="17"/>
  <c r="O34" i="19"/>
  <c r="O25" i="19"/>
  <c r="G19" i="19"/>
  <c r="I27" i="20"/>
  <c r="L27" i="20"/>
  <c r="H27" i="20"/>
  <c r="N24" i="20"/>
  <c r="F24" i="20"/>
  <c r="O26" i="21"/>
  <c r="O16" i="21"/>
  <c r="O12" i="21"/>
  <c r="O36" i="22"/>
  <c r="O21" i="22"/>
  <c r="O9" i="22"/>
  <c r="O32" i="23"/>
  <c r="O35" i="2"/>
  <c r="O28" i="2"/>
  <c r="O23" i="2"/>
  <c r="O16" i="2"/>
  <c r="O12" i="2"/>
  <c r="O10" i="2"/>
  <c r="O12" i="6"/>
  <c r="O8" i="6"/>
  <c r="O35" i="3"/>
  <c r="O33" i="3"/>
  <c r="O17" i="3"/>
  <c r="O15" i="3"/>
  <c r="M36" i="7"/>
  <c r="M28" i="10" s="1"/>
  <c r="I36" i="7"/>
  <c r="I27" i="10" s="1"/>
  <c r="O18" i="7"/>
  <c r="N13" i="7"/>
  <c r="J13" i="7"/>
  <c r="O10" i="7"/>
  <c r="H30" i="8"/>
  <c r="F19" i="8"/>
  <c r="J15" i="8"/>
  <c r="F15" i="8"/>
  <c r="L10" i="8"/>
  <c r="H10" i="8"/>
  <c r="O18" i="5"/>
  <c r="E15" i="5"/>
  <c r="K10" i="5"/>
  <c r="G10" i="5"/>
  <c r="M10" i="5"/>
  <c r="O38" i="9"/>
  <c r="O35" i="9"/>
  <c r="N36" i="9"/>
  <c r="L30" i="9"/>
  <c r="H30" i="9"/>
  <c r="N30" i="9"/>
  <c r="H26" i="9"/>
  <c r="N19" i="9"/>
  <c r="J19" i="9"/>
  <c r="F19" i="9"/>
  <c r="L19" i="9"/>
  <c r="H19" i="9"/>
  <c r="L15" i="9"/>
  <c r="J10" i="9"/>
  <c r="F10" i="9"/>
  <c r="O41" i="12"/>
  <c r="O33" i="12"/>
  <c r="G12" i="12"/>
  <c r="G21" i="12" s="1"/>
  <c r="M16" i="12"/>
  <c r="E16" i="12"/>
  <c r="O24" i="24"/>
  <c r="L19" i="17"/>
  <c r="E34" i="18"/>
  <c r="I19" i="18"/>
  <c r="G37" i="18"/>
  <c r="G41" i="18" s="1"/>
  <c r="G45" i="18" s="1"/>
  <c r="F35" i="19"/>
  <c r="M25" i="20"/>
  <c r="G27" i="20"/>
  <c r="E36" i="2"/>
  <c r="K36" i="2"/>
  <c r="M29" i="2"/>
  <c r="I29" i="2"/>
  <c r="I24" i="2"/>
  <c r="M19" i="2"/>
  <c r="K19" i="2"/>
  <c r="G19" i="2"/>
  <c r="K13" i="2"/>
  <c r="I36" i="6"/>
  <c r="F29" i="6"/>
  <c r="F24" i="6"/>
  <c r="F19" i="6"/>
  <c r="L19" i="6"/>
  <c r="H19" i="6"/>
  <c r="J13" i="6"/>
  <c r="F13" i="6"/>
  <c r="L13" i="6"/>
  <c r="M36" i="3"/>
  <c r="M27" i="11" s="1"/>
  <c r="G36" i="3"/>
  <c r="G28" i="11" s="1"/>
  <c r="E29" i="3"/>
  <c r="M24" i="3"/>
  <c r="I24" i="3"/>
  <c r="E24" i="3"/>
  <c r="I19" i="3"/>
  <c r="G19" i="3"/>
  <c r="E13" i="3"/>
  <c r="M29" i="7"/>
  <c r="I29" i="7"/>
  <c r="I24" i="7"/>
  <c r="K24" i="7"/>
  <c r="E24" i="7"/>
  <c r="K19" i="7"/>
  <c r="M19" i="7"/>
  <c r="K13" i="7"/>
  <c r="G13" i="7"/>
  <c r="M13" i="7"/>
  <c r="I13" i="7"/>
  <c r="E36" i="4"/>
  <c r="M30" i="4"/>
  <c r="M19" i="4"/>
  <c r="E19" i="4"/>
  <c r="G19" i="4"/>
  <c r="M30" i="8"/>
  <c r="K30" i="8"/>
  <c r="G30" i="8"/>
  <c r="I15" i="8"/>
  <c r="K15" i="8"/>
  <c r="K10" i="8"/>
  <c r="M10" i="8"/>
  <c r="H36" i="5"/>
  <c r="N36" i="5"/>
  <c r="H30" i="5"/>
  <c r="N30" i="5"/>
  <c r="J30" i="5"/>
  <c r="J26" i="5"/>
  <c r="H26" i="5"/>
  <c r="J19" i="5"/>
  <c r="L19" i="5"/>
  <c r="L15" i="5"/>
  <c r="N15" i="5"/>
  <c r="F15" i="5"/>
  <c r="F10" i="5"/>
  <c r="I36" i="9"/>
  <c r="G30" i="9"/>
  <c r="M30" i="9"/>
  <c r="I30" i="9"/>
  <c r="E30" i="9"/>
  <c r="M26" i="9"/>
  <c r="I26" i="9"/>
  <c r="E26" i="9"/>
  <c r="M15" i="9"/>
  <c r="N12" i="12"/>
  <c r="N20" i="12" s="1"/>
  <c r="L16" i="12"/>
  <c r="N16" i="12"/>
  <c r="J9" i="12"/>
  <c r="J17" i="12" s="1"/>
  <c r="L9" i="12"/>
  <c r="L17" i="12" s="1"/>
  <c r="H15" i="12"/>
  <c r="K24" i="20"/>
  <c r="G24" i="20"/>
  <c r="H37" i="16"/>
  <c r="H41" i="16" s="1"/>
  <c r="H45" i="16" s="1"/>
  <c r="O30" i="19"/>
  <c r="M27" i="19"/>
  <c r="O20" i="19"/>
  <c r="O17" i="19"/>
  <c r="O10" i="19"/>
  <c r="O23" i="20"/>
  <c r="O15" i="20"/>
  <c r="O34" i="21"/>
  <c r="O31" i="22"/>
  <c r="O10" i="22"/>
  <c r="O40" i="2"/>
  <c r="H36" i="2"/>
  <c r="N19" i="2"/>
  <c r="O15" i="2"/>
  <c r="O40" i="6"/>
  <c r="G29" i="6"/>
  <c r="I24" i="6"/>
  <c r="M19" i="6"/>
  <c r="O9" i="6"/>
  <c r="I13" i="6"/>
  <c r="O34" i="3"/>
  <c r="N29" i="3"/>
  <c r="O23" i="3"/>
  <c r="O18" i="3"/>
  <c r="N19" i="3"/>
  <c r="O10" i="3"/>
  <c r="H29" i="7"/>
  <c r="J24" i="7"/>
  <c r="L36" i="4"/>
  <c r="N36" i="4"/>
  <c r="O32" i="4"/>
  <c r="N26" i="4"/>
  <c r="F26" i="4"/>
  <c r="L26" i="4"/>
  <c r="N15" i="4"/>
  <c r="O12" i="4"/>
  <c r="O9" i="4"/>
  <c r="H10" i="4"/>
  <c r="O34" i="8"/>
  <c r="L36" i="8"/>
  <c r="H26" i="8"/>
  <c r="F26" i="8"/>
  <c r="N10" i="8"/>
  <c r="J10" i="8"/>
  <c r="O34" i="5"/>
  <c r="I36" i="5"/>
  <c r="O25" i="5"/>
  <c r="E26" i="5"/>
  <c r="O17" i="5"/>
  <c r="E19" i="5"/>
  <c r="G15" i="5"/>
  <c r="O9" i="5"/>
  <c r="O7" i="5"/>
  <c r="O33" i="9"/>
  <c r="J36" i="9"/>
  <c r="O24" i="9"/>
  <c r="F26" i="9"/>
  <c r="O21" i="9"/>
  <c r="F15" i="9"/>
  <c r="O34" i="12"/>
  <c r="O28" i="12"/>
  <c r="O24" i="12"/>
  <c r="E27" i="17"/>
  <c r="O30" i="16"/>
  <c r="O8" i="16"/>
  <c r="O17" i="17"/>
  <c r="O31" i="21"/>
  <c r="O22" i="2"/>
  <c r="O10" i="6"/>
  <c r="O8" i="4"/>
  <c r="O13" i="8"/>
  <c r="O12" i="8"/>
  <c r="O8" i="8"/>
  <c r="O18" i="9"/>
  <c r="O39" i="12"/>
  <c r="O31" i="24"/>
  <c r="O23" i="24"/>
  <c r="N19" i="16"/>
  <c r="L37" i="16"/>
  <c r="L41" i="16" s="1"/>
  <c r="L45" i="16" s="1"/>
  <c r="K35" i="17"/>
  <c r="K35" i="19"/>
  <c r="K37" i="19" s="1"/>
  <c r="K41" i="19" s="1"/>
  <c r="K45" i="19" s="1"/>
  <c r="I35" i="19"/>
  <c r="O23" i="19"/>
  <c r="O15" i="19"/>
  <c r="O9" i="19"/>
  <c r="O22" i="22"/>
  <c r="O8" i="2"/>
  <c r="L13" i="2"/>
  <c r="F36" i="6"/>
  <c r="M24" i="6"/>
  <c r="O17" i="6"/>
  <c r="O16" i="6"/>
  <c r="K13" i="6"/>
  <c r="M13" i="6"/>
  <c r="O40" i="3"/>
  <c r="L36" i="3"/>
  <c r="L27" i="11" s="1"/>
  <c r="O27" i="3"/>
  <c r="N24" i="7"/>
  <c r="O15" i="7"/>
  <c r="H36" i="4"/>
  <c r="J36" i="4"/>
  <c r="J26" i="4"/>
  <c r="H26" i="4"/>
  <c r="O14" i="4"/>
  <c r="O13" i="4"/>
  <c r="O38" i="8"/>
  <c r="N36" i="8"/>
  <c r="H36" i="8"/>
  <c r="O29" i="8"/>
  <c r="L26" i="8"/>
  <c r="N26" i="8"/>
  <c r="J26" i="8"/>
  <c r="F10" i="8"/>
  <c r="O35" i="5"/>
  <c r="O33" i="5"/>
  <c r="K26" i="5"/>
  <c r="K15" i="5"/>
  <c r="L36" i="9"/>
  <c r="N26" i="9"/>
  <c r="L26" i="9"/>
  <c r="O42" i="12"/>
  <c r="M15" i="12"/>
  <c r="G26" i="11"/>
  <c r="O22" i="9"/>
  <c r="N29" i="13"/>
  <c r="F25" i="13"/>
  <c r="F26" i="13" s="1"/>
  <c r="L25" i="13"/>
  <c r="L26" i="13" s="1"/>
  <c r="H16" i="13"/>
  <c r="N17" i="13"/>
  <c r="N18" i="13" s="1"/>
  <c r="J17" i="13"/>
  <c r="L10" i="13"/>
  <c r="H10" i="13"/>
  <c r="F16" i="13"/>
  <c r="N33" i="14"/>
  <c r="N37" i="14" s="1"/>
  <c r="N41" i="14" s="1"/>
  <c r="N45" i="14" s="1"/>
  <c r="N49" i="14" s="1"/>
  <c r="L9" i="14"/>
  <c r="L13" i="14" s="1"/>
  <c r="L17" i="14" s="1"/>
  <c r="L21" i="14" s="1"/>
  <c r="L25" i="14" s="1"/>
  <c r="H9" i="14"/>
  <c r="N9" i="14"/>
  <c r="N32" i="20" s="1"/>
  <c r="J9" i="14"/>
  <c r="J32" i="20" s="1"/>
  <c r="K9" i="25"/>
  <c r="K13" i="25" s="1"/>
  <c r="K17" i="25" s="1"/>
  <c r="K21" i="25" s="1"/>
  <c r="K25" i="25" s="1"/>
  <c r="G9" i="25"/>
  <c r="G13" i="25" s="1"/>
  <c r="G17" i="25" s="1"/>
  <c r="G21" i="25" s="1"/>
  <c r="G25" i="25" s="1"/>
  <c r="H26" i="16"/>
  <c r="M19" i="17"/>
  <c r="E19" i="17"/>
  <c r="J34" i="18"/>
  <c r="M33" i="23"/>
  <c r="L12" i="12"/>
  <c r="E29" i="13"/>
  <c r="I25" i="13"/>
  <c r="I30" i="13" s="1"/>
  <c r="J19" i="19"/>
  <c r="J33" i="22"/>
  <c r="H33" i="22"/>
  <c r="H24" i="2"/>
  <c r="E24" i="6"/>
  <c r="J29" i="3"/>
  <c r="H13" i="3"/>
  <c r="L29" i="7"/>
  <c r="O9" i="7"/>
  <c r="J15" i="4"/>
  <c r="O33" i="8"/>
  <c r="F36" i="8"/>
  <c r="J26" i="9"/>
  <c r="O17" i="9"/>
  <c r="G9" i="12"/>
  <c r="G17" i="12" s="1"/>
  <c r="G16" i="12"/>
  <c r="E15" i="12"/>
  <c r="F36" i="4"/>
  <c r="O8" i="20"/>
  <c r="H29" i="3"/>
  <c r="F29" i="13"/>
  <c r="E12" i="12"/>
  <c r="E20" i="12" s="1"/>
  <c r="I24" i="20"/>
  <c r="O21" i="5"/>
  <c r="E19" i="19"/>
  <c r="O25" i="9"/>
  <c r="G33" i="22"/>
  <c r="G26" i="16"/>
  <c r="O18" i="16"/>
  <c r="M19" i="16"/>
  <c r="O16" i="16"/>
  <c r="O13" i="16"/>
  <c r="G37" i="16"/>
  <c r="G41" i="16" s="1"/>
  <c r="G45" i="16" s="1"/>
  <c r="O9" i="16"/>
  <c r="O43" i="17"/>
  <c r="O32" i="17"/>
  <c r="H35" i="17"/>
  <c r="N35" i="17"/>
  <c r="J35" i="17"/>
  <c r="F35" i="17"/>
  <c r="O25" i="17"/>
  <c r="O23" i="17"/>
  <c r="O25" i="18"/>
  <c r="O20" i="18"/>
  <c r="E37" i="18"/>
  <c r="E41" i="18" s="1"/>
  <c r="E45" i="18" s="1"/>
  <c r="O33" i="19"/>
  <c r="O31" i="19"/>
  <c r="M35" i="19"/>
  <c r="E35" i="19"/>
  <c r="I27" i="19"/>
  <c r="O7" i="19"/>
  <c r="O16" i="20"/>
  <c r="K29" i="6"/>
  <c r="I19" i="6"/>
  <c r="O7" i="6"/>
  <c r="E13" i="6"/>
  <c r="F29" i="3"/>
  <c r="O11" i="3"/>
  <c r="O34" i="7"/>
  <c r="O23" i="7"/>
  <c r="O21" i="7"/>
  <c r="O18" i="4"/>
  <c r="J36" i="8"/>
  <c r="F36" i="9"/>
  <c r="O14" i="9"/>
  <c r="H36" i="3"/>
  <c r="H28" i="11" s="1"/>
  <c r="H36" i="9"/>
  <c r="J22" i="13"/>
  <c r="O39" i="19"/>
  <c r="O31" i="20"/>
  <c r="O27" i="6"/>
  <c r="E29" i="6"/>
  <c r="K19" i="6"/>
  <c r="K31" i="6" s="1"/>
  <c r="O15" i="6"/>
  <c r="O11" i="6"/>
  <c r="H24" i="3"/>
  <c r="F30" i="9"/>
  <c r="O28" i="9"/>
  <c r="J15" i="9"/>
  <c r="L17" i="13"/>
  <c r="G35" i="19"/>
  <c r="O11" i="12"/>
  <c r="J25" i="13"/>
  <c r="J27" i="13" s="1"/>
  <c r="G10" i="13"/>
  <c r="O48" i="14"/>
  <c r="O40" i="25"/>
  <c r="O19" i="25"/>
  <c r="O11" i="17"/>
  <c r="O7" i="17"/>
  <c r="O18" i="19"/>
  <c r="O8" i="19"/>
  <c r="O11" i="20"/>
  <c r="K25" i="20"/>
  <c r="O27" i="21"/>
  <c r="O11" i="21"/>
  <c r="E36" i="8"/>
  <c r="O32" i="8"/>
  <c r="O17" i="8"/>
  <c r="G15" i="8"/>
  <c r="O9" i="8"/>
  <c r="I10" i="8"/>
  <c r="F36" i="5"/>
  <c r="O28" i="5"/>
  <c r="L26" i="5"/>
  <c r="O14" i="5"/>
  <c r="O12" i="5"/>
  <c r="L10" i="5"/>
  <c r="O34" i="9"/>
  <c r="M36" i="9"/>
  <c r="E36" i="9"/>
  <c r="M9" i="25"/>
  <c r="M13" i="25" s="1"/>
  <c r="M17" i="25" s="1"/>
  <c r="M21" i="25" s="1"/>
  <c r="M25" i="25" s="1"/>
  <c r="E9" i="25"/>
  <c r="E13" i="25" s="1"/>
  <c r="E17" i="25" s="1"/>
  <c r="O39" i="16"/>
  <c r="O32" i="16"/>
  <c r="O20" i="16"/>
  <c r="O11" i="16"/>
  <c r="O24" i="17"/>
  <c r="H25" i="20"/>
  <c r="N27" i="20"/>
  <c r="O36" i="23"/>
  <c r="O35" i="23"/>
  <c r="O34" i="23"/>
  <c r="L33" i="23"/>
  <c r="O27" i="23"/>
  <c r="N36" i="2"/>
  <c r="N29" i="2"/>
  <c r="J29" i="2"/>
  <c r="F29" i="2"/>
  <c r="O26" i="2"/>
  <c r="L24" i="2"/>
  <c r="O21" i="2"/>
  <c r="J19" i="2"/>
  <c r="F19" i="2"/>
  <c r="O9" i="2"/>
  <c r="H13" i="2"/>
  <c r="N13" i="2"/>
  <c r="O7" i="2"/>
  <c r="N15" i="8"/>
  <c r="H15" i="8"/>
  <c r="M30" i="5"/>
  <c r="I30" i="5"/>
  <c r="K19" i="5"/>
  <c r="G19" i="5"/>
  <c r="O32" i="12"/>
  <c r="O27" i="12"/>
  <c r="O25" i="12"/>
  <c r="M9" i="12"/>
  <c r="M17" i="12" s="1"/>
  <c r="E9" i="12"/>
  <c r="E17" i="12" s="1"/>
  <c r="O15" i="13"/>
  <c r="G16" i="13"/>
  <c r="O43" i="14"/>
  <c r="O40" i="14"/>
  <c r="O39" i="14"/>
  <c r="O36" i="14"/>
  <c r="H33" i="14"/>
  <c r="H37" i="14" s="1"/>
  <c r="H41" i="14" s="1"/>
  <c r="H45" i="14" s="1"/>
  <c r="H49" i="14" s="1"/>
  <c r="O31" i="14"/>
  <c r="K9" i="14"/>
  <c r="K32" i="20" s="1"/>
  <c r="N33" i="25"/>
  <c r="N37" i="25" s="1"/>
  <c r="N41" i="25" s="1"/>
  <c r="N45" i="25" s="1"/>
  <c r="N49" i="25" s="1"/>
  <c r="J33" i="25"/>
  <c r="J37" i="25" s="1"/>
  <c r="J41" i="25" s="1"/>
  <c r="J45" i="25" s="1"/>
  <c r="J49" i="25" s="1"/>
  <c r="F33" i="25"/>
  <c r="F37" i="25" s="1"/>
  <c r="F41" i="25" s="1"/>
  <c r="F45" i="25" s="1"/>
  <c r="F49" i="25" s="1"/>
  <c r="O24" i="25"/>
  <c r="O20" i="25"/>
  <c r="O12" i="25"/>
  <c r="L34" i="16"/>
  <c r="O18" i="17"/>
  <c r="I19" i="17"/>
  <c r="O16" i="17"/>
  <c r="O10" i="17"/>
  <c r="O9" i="17"/>
  <c r="O24" i="18"/>
  <c r="O16" i="18"/>
  <c r="O15" i="18"/>
  <c r="L37" i="18"/>
  <c r="L41" i="18" s="1"/>
  <c r="L45" i="18" s="1"/>
  <c r="O10" i="18"/>
  <c r="O9" i="18"/>
  <c r="O8" i="18"/>
  <c r="O43" i="19"/>
  <c r="H35" i="19"/>
  <c r="O24" i="19"/>
  <c r="O16" i="19"/>
  <c r="O13" i="19"/>
  <c r="O11" i="19"/>
  <c r="O36" i="21"/>
  <c r="O35" i="21"/>
  <c r="O33" i="21"/>
  <c r="O32" i="21"/>
  <c r="O22" i="21"/>
  <c r="O21" i="21"/>
  <c r="O20" i="21"/>
  <c r="O19" i="21"/>
  <c r="O18" i="21"/>
  <c r="O17" i="21"/>
  <c r="O10" i="21"/>
  <c r="O9" i="21"/>
  <c r="O34" i="22"/>
  <c r="O27" i="22"/>
  <c r="O18" i="22"/>
  <c r="O17" i="22"/>
  <c r="O12" i="22"/>
  <c r="O11" i="22"/>
  <c r="K24" i="2"/>
  <c r="O11" i="2"/>
  <c r="I13" i="2"/>
  <c r="O35" i="4"/>
  <c r="O34" i="4"/>
  <c r="E30" i="4"/>
  <c r="O25" i="4"/>
  <c r="O24" i="4"/>
  <c r="O21" i="4"/>
  <c r="K19" i="4"/>
  <c r="I19" i="4"/>
  <c r="O17" i="4"/>
  <c r="G15" i="4"/>
  <c r="L27" i="17"/>
  <c r="H27" i="17"/>
  <c r="H37" i="17" s="1"/>
  <c r="H41" i="17" s="1"/>
  <c r="H45" i="17" s="1"/>
  <c r="O23" i="14"/>
  <c r="L29" i="2"/>
  <c r="O27" i="18"/>
  <c r="O23" i="16"/>
  <c r="E25" i="13"/>
  <c r="E27" i="13" s="1"/>
  <c r="N22" i="13"/>
  <c r="N23" i="13" s="1"/>
  <c r="N21" i="13"/>
  <c r="J21" i="13"/>
  <c r="I9" i="25"/>
  <c r="I13" i="25" s="1"/>
  <c r="I17" i="25" s="1"/>
  <c r="I21" i="25" s="1"/>
  <c r="I25" i="25" s="1"/>
  <c r="L36" i="7"/>
  <c r="L27" i="10" s="1"/>
  <c r="D2" i="9"/>
  <c r="I33" i="14"/>
  <c r="I37" i="14" s="1"/>
  <c r="I41" i="14" s="1"/>
  <c r="I45" i="14" s="1"/>
  <c r="I49" i="14" s="1"/>
  <c r="J29" i="13"/>
  <c r="O35" i="18"/>
  <c r="L29" i="13"/>
  <c r="K17" i="13"/>
  <c r="N27" i="17"/>
  <c r="F27" i="17"/>
  <c r="L19" i="18"/>
  <c r="J19" i="18"/>
  <c r="J37" i="18"/>
  <c r="J41" i="18" s="1"/>
  <c r="J45" i="18" s="1"/>
  <c r="F37" i="18"/>
  <c r="F41" i="18" s="1"/>
  <c r="F27" i="19"/>
  <c r="L19" i="19"/>
  <c r="N33" i="22"/>
  <c r="F33" i="22"/>
  <c r="H33" i="23"/>
  <c r="J33" i="23"/>
  <c r="M29" i="6"/>
  <c r="M31" i="6" s="1"/>
  <c r="M38" i="6" s="1"/>
  <c r="M42" i="6" s="1"/>
  <c r="G24" i="6"/>
  <c r="M19" i="8"/>
  <c r="E19" i="8"/>
  <c r="G19" i="8"/>
  <c r="K9" i="12"/>
  <c r="K17" i="12" s="1"/>
  <c r="I15" i="12"/>
  <c r="G25" i="13"/>
  <c r="O31" i="25"/>
  <c r="G17" i="13"/>
  <c r="F21" i="13"/>
  <c r="I17" i="13"/>
  <c r="H33" i="25"/>
  <c r="H37" i="25" s="1"/>
  <c r="H41" i="25" s="1"/>
  <c r="H45" i="25" s="1"/>
  <c r="H49" i="25" s="1"/>
  <c r="L9" i="25"/>
  <c r="L13" i="25" s="1"/>
  <c r="L17" i="25" s="1"/>
  <c r="L21" i="25" s="1"/>
  <c r="J27" i="17"/>
  <c r="O12" i="7"/>
  <c r="E26" i="11"/>
  <c r="I26" i="11"/>
  <c r="L21" i="13"/>
  <c r="M33" i="14"/>
  <c r="M37" i="14" s="1"/>
  <c r="M41" i="14" s="1"/>
  <c r="M45" i="14" s="1"/>
  <c r="M49" i="14" s="1"/>
  <c r="N25" i="13"/>
  <c r="N30" i="13" s="1"/>
  <c r="O8" i="12"/>
  <c r="O29" i="9"/>
  <c r="O29" i="19"/>
  <c r="K27" i="20"/>
  <c r="G22" i="13"/>
  <c r="G23" i="13" s="1"/>
  <c r="H34" i="16"/>
  <c r="L26" i="16"/>
  <c r="L19" i="16"/>
  <c r="O15" i="16"/>
  <c r="N37" i="16"/>
  <c r="N41" i="16" s="1"/>
  <c r="N45" i="16" s="1"/>
  <c r="F37" i="16"/>
  <c r="F41" i="16" s="1"/>
  <c r="F45" i="16" s="1"/>
  <c r="M35" i="17"/>
  <c r="M27" i="17"/>
  <c r="I27" i="17"/>
  <c r="H19" i="17"/>
  <c r="K26" i="18"/>
  <c r="M26" i="18"/>
  <c r="I26" i="18"/>
  <c r="K19" i="19"/>
  <c r="D2" i="19"/>
  <c r="D39" i="20"/>
  <c r="J27" i="20"/>
  <c r="F27" i="20"/>
  <c r="D2" i="20"/>
  <c r="O32" i="22"/>
  <c r="D2" i="22"/>
  <c r="D2" i="2"/>
  <c r="L36" i="6"/>
  <c r="H29" i="6"/>
  <c r="N29" i="6"/>
  <c r="J29" i="6"/>
  <c r="L29" i="6"/>
  <c r="L24" i="6"/>
  <c r="N19" i="6"/>
  <c r="D2" i="7"/>
  <c r="F19" i="4"/>
  <c r="D2" i="4"/>
  <c r="N30" i="8"/>
  <c r="L19" i="8"/>
  <c r="H19" i="8"/>
  <c r="N19" i="8"/>
  <c r="M19" i="9"/>
  <c r="I15" i="9"/>
  <c r="K15" i="9"/>
  <c r="G10" i="9"/>
  <c r="L15" i="12"/>
  <c r="O33" i="17"/>
  <c r="I35" i="17"/>
  <c r="G35" i="17"/>
  <c r="K27" i="17"/>
  <c r="G27" i="17"/>
  <c r="O18" i="18"/>
  <c r="O17" i="18"/>
  <c r="O13" i="18"/>
  <c r="E26" i="20"/>
  <c r="O10" i="20"/>
  <c r="O35" i="6"/>
  <c r="N36" i="6"/>
  <c r="O26" i="6"/>
  <c r="O23" i="6"/>
  <c r="H24" i="6"/>
  <c r="O22" i="6"/>
  <c r="J24" i="6"/>
  <c r="O21" i="6"/>
  <c r="E15" i="9"/>
  <c r="O13" i="9"/>
  <c r="O12" i="9"/>
  <c r="G15" i="9"/>
  <c r="I10" i="9"/>
  <c r="O7" i="9"/>
  <c r="E10" i="9"/>
  <c r="L20" i="12"/>
  <c r="L21" i="12"/>
  <c r="I34" i="16"/>
  <c r="O39" i="17"/>
  <c r="K27" i="11"/>
  <c r="N26" i="11"/>
  <c r="K26" i="20"/>
  <c r="K21" i="13"/>
  <c r="K22" i="13"/>
  <c r="K23" i="13" s="1"/>
  <c r="O35" i="14"/>
  <c r="O8" i="25"/>
  <c r="F19" i="19"/>
  <c r="O19" i="20"/>
  <c r="O17" i="20"/>
  <c r="M24" i="20"/>
  <c r="M27" i="20"/>
  <c r="K15" i="4"/>
  <c r="I10" i="4"/>
  <c r="E10" i="4"/>
  <c r="O35" i="8"/>
  <c r="I36" i="8"/>
  <c r="O28" i="8"/>
  <c r="M26" i="8"/>
  <c r="J16" i="12"/>
  <c r="F9" i="12"/>
  <c r="F17" i="12" s="1"/>
  <c r="O9" i="20"/>
  <c r="O7" i="20"/>
  <c r="M13" i="2"/>
  <c r="E13" i="2"/>
  <c r="O26" i="3"/>
  <c r="M19" i="3"/>
  <c r="O9" i="3"/>
  <c r="G13" i="3"/>
  <c r="O7" i="3"/>
  <c r="O40" i="7"/>
  <c r="F36" i="7"/>
  <c r="I19" i="7"/>
  <c r="E19" i="7"/>
  <c r="O33" i="4"/>
  <c r="G36" i="5"/>
  <c r="M36" i="5"/>
  <c r="I16" i="12"/>
  <c r="I9" i="12"/>
  <c r="I17" i="12" s="1"/>
  <c r="O20" i="24"/>
  <c r="O32" i="19"/>
  <c r="J35" i="19"/>
  <c r="L35" i="19"/>
  <c r="L27" i="19"/>
  <c r="O26" i="22"/>
  <c r="O20" i="22"/>
  <c r="O19" i="22"/>
  <c r="O16" i="22"/>
  <c r="O34" i="2"/>
  <c r="L36" i="2"/>
  <c r="O18" i="6"/>
  <c r="E19" i="6"/>
  <c r="G19" i="6"/>
  <c r="G13" i="6"/>
  <c r="J12" i="12"/>
  <c r="J21" i="12" s="1"/>
  <c r="O7" i="12"/>
  <c r="K10" i="13"/>
  <c r="F33" i="14"/>
  <c r="F37" i="14" s="1"/>
  <c r="F41" i="14" s="1"/>
  <c r="F45" i="14" s="1"/>
  <c r="F49" i="14" s="1"/>
  <c r="G9" i="14"/>
  <c r="G32" i="20" s="1"/>
  <c r="M37" i="16"/>
  <c r="M41" i="16" s="1"/>
  <c r="M45" i="16" s="1"/>
  <c r="O34" i="17"/>
  <c r="I33" i="23"/>
  <c r="O20" i="23"/>
  <c r="O16" i="23"/>
  <c r="O11" i="23"/>
  <c r="O10" i="23"/>
  <c r="O9" i="23"/>
  <c r="N24" i="2"/>
  <c r="F24" i="2"/>
  <c r="J13" i="2"/>
  <c r="F13" i="2"/>
  <c r="J36" i="3"/>
  <c r="J26" i="11" s="1"/>
  <c r="F36" i="3"/>
  <c r="F27" i="11" s="1"/>
  <c r="O38" i="4"/>
  <c r="O28" i="4"/>
  <c r="H15" i="4"/>
  <c r="F15" i="4"/>
  <c r="L10" i="4"/>
  <c r="F30" i="8"/>
  <c r="I19" i="8"/>
  <c r="L15" i="8"/>
  <c r="H15" i="5"/>
  <c r="J10" i="5"/>
  <c r="J30" i="9"/>
  <c r="K19" i="9"/>
  <c r="N15" i="9"/>
  <c r="L10" i="9"/>
  <c r="N10" i="9"/>
  <c r="M12" i="12"/>
  <c r="I12" i="12"/>
  <c r="O22" i="24"/>
  <c r="E36" i="6"/>
  <c r="E17" i="13"/>
  <c r="E33" i="14"/>
  <c r="E37" i="14" s="1"/>
  <c r="E41" i="14" s="1"/>
  <c r="E45" i="14" s="1"/>
  <c r="O48" i="25"/>
  <c r="O43" i="25"/>
  <c r="O39" i="25"/>
  <c r="O29" i="16"/>
  <c r="F19" i="16"/>
  <c r="M19" i="18"/>
  <c r="E19" i="18"/>
  <c r="N19" i="19"/>
  <c r="H19" i="19"/>
  <c r="G25" i="20"/>
  <c r="M24" i="2"/>
  <c r="J19" i="4"/>
  <c r="I30" i="8"/>
  <c r="E30" i="8"/>
  <c r="O23" i="8"/>
  <c r="E36" i="5"/>
  <c r="O29" i="5"/>
  <c r="O23" i="5"/>
  <c r="M26" i="5"/>
  <c r="I26" i="5"/>
  <c r="M19" i="5"/>
  <c r="O13" i="5"/>
  <c r="I10" i="5"/>
  <c r="E10" i="5"/>
  <c r="G26" i="9"/>
  <c r="H15" i="9"/>
  <c r="K10" i="9"/>
  <c r="O29" i="24"/>
  <c r="O15" i="14"/>
  <c r="O12" i="14"/>
  <c r="E26" i="18"/>
  <c r="O23" i="18"/>
  <c r="M36" i="2"/>
  <c r="F24" i="7"/>
  <c r="H19" i="7"/>
  <c r="J19" i="7"/>
  <c r="F19" i="7"/>
  <c r="I19" i="9"/>
  <c r="O38" i="12"/>
  <c r="O33" i="24"/>
  <c r="G36" i="6"/>
  <c r="O44" i="25"/>
  <c r="O36" i="25"/>
  <c r="O43" i="16"/>
  <c r="K37" i="16"/>
  <c r="K41" i="16" s="1"/>
  <c r="K45" i="16" s="1"/>
  <c r="K34" i="16"/>
  <c r="I26" i="8"/>
  <c r="K26" i="8"/>
  <c r="J19" i="8"/>
  <c r="O18" i="8"/>
  <c r="K33" i="7"/>
  <c r="K33" i="6"/>
  <c r="K36" i="6" s="1"/>
  <c r="K32" i="14"/>
  <c r="K33" i="14" s="1"/>
  <c r="K37" i="14" s="1"/>
  <c r="K41" i="14" s="1"/>
  <c r="K45" i="14" s="1"/>
  <c r="K49" i="14" s="1"/>
  <c r="E36" i="7"/>
  <c r="F13" i="13"/>
  <c r="F17" i="13"/>
  <c r="O24" i="14"/>
  <c r="O20" i="14"/>
  <c r="E9" i="14"/>
  <c r="O8" i="14"/>
  <c r="O7" i="25"/>
  <c r="O21" i="23"/>
  <c r="J36" i="7"/>
  <c r="J28" i="10" s="1"/>
  <c r="O35" i="7"/>
  <c r="H36" i="7"/>
  <c r="H27" i="10" s="1"/>
  <c r="N36" i="7"/>
  <c r="N26" i="10" s="1"/>
  <c r="O28" i="7"/>
  <c r="E29" i="7"/>
  <c r="O27" i="7"/>
  <c r="K29" i="7"/>
  <c r="O26" i="7"/>
  <c r="G29" i="7"/>
  <c r="O22" i="7"/>
  <c r="G24" i="7"/>
  <c r="O17" i="7"/>
  <c r="L19" i="7"/>
  <c r="N19" i="7"/>
  <c r="O11" i="7"/>
  <c r="O10" i="12"/>
  <c r="K12" i="12"/>
  <c r="K21" i="12" s="1"/>
  <c r="O32" i="24"/>
  <c r="O30" i="24"/>
  <c r="O25" i="24"/>
  <c r="O12" i="13"/>
  <c r="F27" i="13"/>
  <c r="O16" i="7"/>
  <c r="N16" i="13"/>
  <c r="E28" i="11"/>
  <c r="N10" i="13"/>
  <c r="N13" i="13"/>
  <c r="E30" i="13"/>
  <c r="K16" i="12"/>
  <c r="O19" i="14"/>
  <c r="F9" i="14"/>
  <c r="O7" i="14"/>
  <c r="O16" i="25"/>
  <c r="O15" i="25"/>
  <c r="O25" i="16"/>
  <c r="O24" i="16"/>
  <c r="O22" i="16"/>
  <c r="F26" i="16"/>
  <c r="O10" i="16"/>
  <c r="O7" i="16"/>
  <c r="O24" i="8"/>
  <c r="E26" i="8"/>
  <c r="O22" i="8"/>
  <c r="G26" i="8"/>
  <c r="O21" i="24"/>
  <c r="G33" i="7"/>
  <c r="G32" i="25"/>
  <c r="G32" i="14"/>
  <c r="O21" i="8"/>
  <c r="J26" i="13"/>
  <c r="J10" i="13"/>
  <c r="O7" i="13"/>
  <c r="O16" i="14"/>
  <c r="O31" i="23"/>
  <c r="E33" i="23"/>
  <c r="O26" i="23"/>
  <c r="O22" i="23"/>
  <c r="O19" i="23"/>
  <c r="O18" i="23"/>
  <c r="O17" i="23"/>
  <c r="O12" i="23"/>
  <c r="F22" i="13"/>
  <c r="O9" i="13"/>
  <c r="O35" i="25"/>
  <c r="F30" i="13"/>
  <c r="H20" i="12"/>
  <c r="H21" i="12"/>
  <c r="K32" i="25"/>
  <c r="K33" i="25" s="1"/>
  <c r="K37" i="25" s="1"/>
  <c r="K41" i="25" s="1"/>
  <c r="K45" i="25" s="1"/>
  <c r="K49" i="25" s="1"/>
  <c r="O35" i="16"/>
  <c r="J16" i="13"/>
  <c r="F13" i="7"/>
  <c r="J13" i="13"/>
  <c r="M29" i="13"/>
  <c r="M22" i="13"/>
  <c r="M25" i="13"/>
  <c r="M21" i="13"/>
  <c r="I22" i="13"/>
  <c r="I29" i="13"/>
  <c r="O11" i="25"/>
  <c r="E34" i="16"/>
  <c r="E37" i="16"/>
  <c r="O33" i="16"/>
  <c r="O31" i="16"/>
  <c r="M34" i="16"/>
  <c r="G34" i="16"/>
  <c r="O30" i="17"/>
  <c r="O43" i="18"/>
  <c r="O39" i="18"/>
  <c r="O33" i="18"/>
  <c r="O32" i="18"/>
  <c r="O31" i="18"/>
  <c r="O30" i="18"/>
  <c r="F34" i="18"/>
  <c r="O29" i="18"/>
  <c r="N26" i="18"/>
  <c r="F26" i="18"/>
  <c r="O22" i="18"/>
  <c r="H37" i="18"/>
  <c r="M37" i="18"/>
  <c r="M41" i="18" s="1"/>
  <c r="M45" i="18" s="1"/>
  <c r="O11" i="18"/>
  <c r="H21" i="13"/>
  <c r="E21" i="13"/>
  <c r="E22" i="13"/>
  <c r="O47" i="14"/>
  <c r="O44" i="14"/>
  <c r="O31" i="17"/>
  <c r="L35" i="17"/>
  <c r="O22" i="3"/>
  <c r="J24" i="3"/>
  <c r="F24" i="3"/>
  <c r="O21" i="3"/>
  <c r="L19" i="3"/>
  <c r="H19" i="3"/>
  <c r="O16" i="3"/>
  <c r="J19" i="3"/>
  <c r="F19" i="3"/>
  <c r="L13" i="3"/>
  <c r="O8" i="3"/>
  <c r="N13" i="3"/>
  <c r="J13" i="3"/>
  <c r="F13" i="3"/>
  <c r="K36" i="5"/>
  <c r="O32" i="5"/>
  <c r="G26" i="5"/>
  <c r="O24" i="5"/>
  <c r="O9" i="9"/>
  <c r="H10" i="9"/>
  <c r="O8" i="9"/>
  <c r="H25" i="13"/>
  <c r="H29" i="13"/>
  <c r="H17" i="13"/>
  <c r="O27" i="16"/>
  <c r="M26" i="16"/>
  <c r="I37" i="16"/>
  <c r="I41" i="16" s="1"/>
  <c r="I45" i="16" s="1"/>
  <c r="J36" i="2"/>
  <c r="O33" i="2"/>
  <c r="O27" i="2"/>
  <c r="G29" i="2"/>
  <c r="O7" i="8"/>
  <c r="G10" i="8"/>
  <c r="O38" i="5"/>
  <c r="O8" i="5"/>
  <c r="E35" i="17"/>
  <c r="O28" i="6"/>
  <c r="M10" i="13"/>
  <c r="L33" i="25"/>
  <c r="L37" i="25" s="1"/>
  <c r="L41" i="25" s="1"/>
  <c r="L45" i="25" s="1"/>
  <c r="L49" i="25" s="1"/>
  <c r="H9" i="25"/>
  <c r="H13" i="25" s="1"/>
  <c r="H17" i="25" s="1"/>
  <c r="H21" i="25" s="1"/>
  <c r="H25" i="25" s="1"/>
  <c r="J19" i="16"/>
  <c r="O18" i="20"/>
  <c r="O35" i="22"/>
  <c r="O28" i="3"/>
  <c r="O23" i="4"/>
  <c r="O14" i="8"/>
  <c r="O23" i="9"/>
  <c r="O40" i="12"/>
  <c r="O26" i="12"/>
  <c r="O29" i="17"/>
  <c r="O26" i="17"/>
  <c r="O13" i="17"/>
  <c r="I37" i="18"/>
  <c r="I41" i="18" s="1"/>
  <c r="I45" i="18" s="1"/>
  <c r="G19" i="18"/>
  <c r="H27" i="19"/>
  <c r="N27" i="19"/>
  <c r="N37" i="19" s="1"/>
  <c r="N41" i="19" s="1"/>
  <c r="N45" i="19" s="1"/>
  <c r="J27" i="19"/>
  <c r="O22" i="19"/>
  <c r="O18" i="2"/>
  <c r="O17" i="2"/>
  <c r="L19" i="2"/>
  <c r="H19" i="2"/>
  <c r="H36" i="6"/>
  <c r="O34" i="6"/>
  <c r="O8" i="7"/>
  <c r="O7" i="7"/>
  <c r="O29" i="4"/>
  <c r="O32" i="9"/>
  <c r="J37" i="16"/>
  <c r="J41" i="16" s="1"/>
  <c r="J45" i="16" s="1"/>
  <c r="J24" i="20"/>
  <c r="L25" i="20"/>
  <c r="K29" i="2"/>
  <c r="J19" i="6"/>
  <c r="E13" i="7"/>
  <c r="M15" i="4"/>
  <c r="J36" i="5"/>
  <c r="O31" i="12"/>
  <c r="L25" i="25"/>
  <c r="F19" i="17"/>
  <c r="N34" i="18"/>
  <c r="J26" i="18"/>
  <c r="K37" i="18"/>
  <c r="K41" i="18" s="1"/>
  <c r="K45" i="18" s="1"/>
  <c r="L26" i="20"/>
  <c r="M29" i="3"/>
  <c r="G30" i="4"/>
  <c r="O22" i="5"/>
  <c r="K30" i="9"/>
  <c r="O35" i="12"/>
  <c r="O26" i="19"/>
  <c r="O47" i="25"/>
  <c r="E27" i="19"/>
  <c r="O23" i="25"/>
  <c r="G37" i="19" l="1"/>
  <c r="G41" i="19" s="1"/>
  <c r="G45" i="19" s="1"/>
  <c r="K13" i="14"/>
  <c r="K17" i="14" s="1"/>
  <c r="K21" i="14" s="1"/>
  <c r="K25" i="14" s="1"/>
  <c r="K27" i="13"/>
  <c r="J13" i="14"/>
  <c r="J17" i="14" s="1"/>
  <c r="J21" i="14" s="1"/>
  <c r="J25" i="14" s="1"/>
  <c r="I13" i="14"/>
  <c r="I17" i="14" s="1"/>
  <c r="I21" i="14" s="1"/>
  <c r="I25" i="14" s="1"/>
  <c r="F31" i="6"/>
  <c r="G27" i="11"/>
  <c r="K30" i="13"/>
  <c r="N31" i="6"/>
  <c r="N38" i="6" s="1"/>
  <c r="N42" i="6" s="1"/>
  <c r="F37" i="19"/>
  <c r="F41" i="19" s="1"/>
  <c r="F45" i="19" s="1"/>
  <c r="I37" i="20"/>
  <c r="M13" i="14"/>
  <c r="M17" i="14" s="1"/>
  <c r="M21" i="14" s="1"/>
  <c r="M25" i="14" s="1"/>
  <c r="M27" i="10"/>
  <c r="H31" i="7"/>
  <c r="H12" i="10" s="1"/>
  <c r="I45" i="20"/>
  <c r="I55" i="20" s="1"/>
  <c r="I18" i="13"/>
  <c r="I46" i="20"/>
  <c r="I56" i="20" s="1"/>
  <c r="I49" i="20"/>
  <c r="I59" i="20" s="1"/>
  <c r="I35" i="20"/>
  <c r="I47" i="20"/>
  <c r="I57" i="20" s="1"/>
  <c r="I37" i="19"/>
  <c r="I41" i="19" s="1"/>
  <c r="I45" i="19" s="1"/>
  <c r="I44" i="20"/>
  <c r="I54" i="20" s="1"/>
  <c r="M26" i="10"/>
  <c r="I34" i="20"/>
  <c r="I40" i="5"/>
  <c r="I17" i="11" s="1"/>
  <c r="E31" i="3"/>
  <c r="E10" i="11" s="1"/>
  <c r="L40" i="5"/>
  <c r="L18" i="11" s="1"/>
  <c r="O30" i="4"/>
  <c r="K40" i="4"/>
  <c r="I28" i="10"/>
  <c r="K31" i="3"/>
  <c r="K38" i="3" s="1"/>
  <c r="K42" i="3" s="1"/>
  <c r="H37" i="19"/>
  <c r="H41" i="19" s="1"/>
  <c r="H45" i="19" s="1"/>
  <c r="K40" i="8"/>
  <c r="G13" i="14"/>
  <c r="G17" i="14" s="1"/>
  <c r="G21" i="14" s="1"/>
  <c r="G25" i="14" s="1"/>
  <c r="I26" i="10"/>
  <c r="M40" i="9"/>
  <c r="M19" i="10" s="1"/>
  <c r="I31" i="2"/>
  <c r="I38" i="2" s="1"/>
  <c r="I42" i="2" s="1"/>
  <c r="H27" i="11"/>
  <c r="H40" i="5"/>
  <c r="H21" i="11" s="1"/>
  <c r="I31" i="3"/>
  <c r="I9" i="11" s="1"/>
  <c r="G31" i="2"/>
  <c r="G38" i="2" s="1"/>
  <c r="G42" i="2" s="1"/>
  <c r="J31" i="7"/>
  <c r="J9" i="10" s="1"/>
  <c r="N21" i="12"/>
  <c r="H26" i="11"/>
  <c r="N40" i="5"/>
  <c r="N17" i="11" s="1"/>
  <c r="M40" i="8"/>
  <c r="M31" i="7"/>
  <c r="M12" i="10" s="1"/>
  <c r="J37" i="17"/>
  <c r="J41" i="17" s="1"/>
  <c r="J45" i="17" s="1"/>
  <c r="O33" i="23"/>
  <c r="L28" i="11"/>
  <c r="H40" i="4"/>
  <c r="L18" i="13"/>
  <c r="M26" i="11"/>
  <c r="J28" i="11"/>
  <c r="I26" i="13"/>
  <c r="E31" i="6"/>
  <c r="E38" i="6" s="1"/>
  <c r="E42" i="6" s="1"/>
  <c r="M28" i="11"/>
  <c r="J30" i="13"/>
  <c r="K18" i="13"/>
  <c r="I31" i="6"/>
  <c r="I38" i="6" s="1"/>
  <c r="I42" i="6" s="1"/>
  <c r="O24" i="20"/>
  <c r="H31" i="2"/>
  <c r="H38" i="2" s="1"/>
  <c r="H42" i="2" s="1"/>
  <c r="E26" i="13"/>
  <c r="I37" i="17"/>
  <c r="I41" i="17" s="1"/>
  <c r="I45" i="17" s="1"/>
  <c r="K31" i="2"/>
  <c r="K38" i="2" s="1"/>
  <c r="K42" i="2" s="1"/>
  <c r="N31" i="7"/>
  <c r="N9" i="10" s="1"/>
  <c r="F40" i="4"/>
  <c r="E40" i="4"/>
  <c r="K37" i="17"/>
  <c r="K41" i="17" s="1"/>
  <c r="K45" i="17" s="1"/>
  <c r="F37" i="17"/>
  <c r="F41" i="17" s="1"/>
  <c r="F45" i="17" s="1"/>
  <c r="N37" i="17"/>
  <c r="N41" i="17" s="1"/>
  <c r="N45" i="17" s="1"/>
  <c r="N18" i="11"/>
  <c r="N22" i="11"/>
  <c r="O15" i="12"/>
  <c r="F40" i="9"/>
  <c r="F21" i="10" s="1"/>
  <c r="L27" i="13"/>
  <c r="I31" i="7"/>
  <c r="I9" i="10" s="1"/>
  <c r="G31" i="3"/>
  <c r="G11" i="11" s="1"/>
  <c r="L31" i="6"/>
  <c r="L38" i="6" s="1"/>
  <c r="L42" i="6" s="1"/>
  <c r="O29" i="6"/>
  <c r="O33" i="22"/>
  <c r="M37" i="17"/>
  <c r="M41" i="17" s="1"/>
  <c r="M45" i="17" s="1"/>
  <c r="O17" i="12"/>
  <c r="O36" i="9"/>
  <c r="F40" i="5"/>
  <c r="F21" i="11" s="1"/>
  <c r="G20" i="12"/>
  <c r="O36" i="4"/>
  <c r="F38" i="6"/>
  <c r="F42" i="6" s="1"/>
  <c r="N40" i="4"/>
  <c r="O19" i="17"/>
  <c r="L32" i="20"/>
  <c r="L45" i="20" s="1"/>
  <c r="L55" i="20" s="1"/>
  <c r="I40" i="9"/>
  <c r="I22" i="10" s="1"/>
  <c r="O10" i="5"/>
  <c r="O15" i="5"/>
  <c r="L40" i="4"/>
  <c r="J31" i="2"/>
  <c r="J38" i="2" s="1"/>
  <c r="J42" i="2" s="1"/>
  <c r="L22" i="11"/>
  <c r="L30" i="13"/>
  <c r="O26" i="4"/>
  <c r="N44" i="20"/>
  <c r="N54" i="20" s="1"/>
  <c r="N33" i="20"/>
  <c r="N37" i="20" s="1"/>
  <c r="N46" i="20"/>
  <c r="N56" i="20" s="1"/>
  <c r="N49" i="20"/>
  <c r="N59" i="20" s="1"/>
  <c r="N47" i="20"/>
  <c r="N57" i="20" s="1"/>
  <c r="N13" i="14"/>
  <c r="N17" i="14" s="1"/>
  <c r="N21" i="14" s="1"/>
  <c r="N25" i="14" s="1"/>
  <c r="H32" i="20"/>
  <c r="H13" i="14"/>
  <c r="H17" i="14" s="1"/>
  <c r="H21" i="14" s="1"/>
  <c r="H25" i="14" s="1"/>
  <c r="M31" i="3"/>
  <c r="M38" i="3" s="1"/>
  <c r="M42" i="3" s="1"/>
  <c r="F26" i="11"/>
  <c r="J40" i="8"/>
  <c r="N27" i="13"/>
  <c r="O26" i="9"/>
  <c r="J40" i="9"/>
  <c r="J21" i="10" s="1"/>
  <c r="O13" i="6"/>
  <c r="L20" i="11"/>
  <c r="L21" i="11"/>
  <c r="O30" i="5"/>
  <c r="M37" i="19"/>
  <c r="M41" i="19" s="1"/>
  <c r="M45" i="19" s="1"/>
  <c r="L26" i="11"/>
  <c r="M18" i="13"/>
  <c r="O19" i="16"/>
  <c r="I23" i="13"/>
  <c r="I27" i="13"/>
  <c r="E40" i="5"/>
  <c r="E21" i="11" s="1"/>
  <c r="F40" i="8"/>
  <c r="O36" i="8"/>
  <c r="L17" i="11"/>
  <c r="H40" i="8"/>
  <c r="F18" i="11"/>
  <c r="L31" i="2"/>
  <c r="L38" i="2" s="1"/>
  <c r="L42" i="2" s="1"/>
  <c r="H31" i="3"/>
  <c r="H12" i="11" s="1"/>
  <c r="L37" i="17"/>
  <c r="L41" i="17" s="1"/>
  <c r="L45" i="17" s="1"/>
  <c r="N45" i="20"/>
  <c r="N55" i="20" s="1"/>
  <c r="O24" i="7"/>
  <c r="N26" i="13"/>
  <c r="M40" i="5"/>
  <c r="M20" i="11" s="1"/>
  <c r="L37" i="19"/>
  <c r="L41" i="19" s="1"/>
  <c r="L45" i="19" s="1"/>
  <c r="F23" i="13"/>
  <c r="O19" i="4"/>
  <c r="O15" i="8"/>
  <c r="E40" i="8"/>
  <c r="H31" i="6"/>
  <c r="H38" i="6" s="1"/>
  <c r="H42" i="6" s="1"/>
  <c r="N31" i="2"/>
  <c r="N38" i="2" s="1"/>
  <c r="N42" i="2" s="1"/>
  <c r="O35" i="19"/>
  <c r="I40" i="4"/>
  <c r="N40" i="8"/>
  <c r="E21" i="12"/>
  <c r="J37" i="19"/>
  <c r="J41" i="19" s="1"/>
  <c r="J45" i="19" s="1"/>
  <c r="O25" i="13"/>
  <c r="J27" i="11"/>
  <c r="O29" i="13"/>
  <c r="O10" i="4"/>
  <c r="K38" i="6"/>
  <c r="K42" i="6" s="1"/>
  <c r="O15" i="9"/>
  <c r="L26" i="10"/>
  <c r="L28" i="10"/>
  <c r="J18" i="13"/>
  <c r="O27" i="17"/>
  <c r="O16" i="13"/>
  <c r="O26" i="16"/>
  <c r="I40" i="8"/>
  <c r="O19" i="9"/>
  <c r="M31" i="2"/>
  <c r="M38" i="2" s="1"/>
  <c r="M42" i="2" s="1"/>
  <c r="O27" i="20"/>
  <c r="O19" i="19"/>
  <c r="O25" i="20"/>
  <c r="O36" i="3"/>
  <c r="O9" i="12"/>
  <c r="O24" i="2"/>
  <c r="J40" i="4"/>
  <c r="O24" i="6"/>
  <c r="O26" i="20"/>
  <c r="G37" i="17"/>
  <c r="G41" i="17" s="1"/>
  <c r="G45" i="17" s="1"/>
  <c r="G27" i="13"/>
  <c r="G26" i="13"/>
  <c r="G30" i="13"/>
  <c r="O15" i="4"/>
  <c r="F28" i="11"/>
  <c r="O34" i="18"/>
  <c r="F31" i="2"/>
  <c r="O19" i="5"/>
  <c r="O29" i="3"/>
  <c r="O19" i="8"/>
  <c r="K20" i="12"/>
  <c r="O30" i="8"/>
  <c r="N40" i="9"/>
  <c r="J23" i="13"/>
  <c r="O19" i="7"/>
  <c r="F27" i="10"/>
  <c r="F28" i="10"/>
  <c r="O10" i="13"/>
  <c r="O16" i="12"/>
  <c r="O29" i="2"/>
  <c r="L40" i="9"/>
  <c r="L40" i="8"/>
  <c r="G40" i="9"/>
  <c r="G17" i="10" s="1"/>
  <c r="L31" i="7"/>
  <c r="L9" i="10" s="1"/>
  <c r="M20" i="12"/>
  <c r="M21" i="12"/>
  <c r="J31" i="6"/>
  <c r="J38" i="6" s="1"/>
  <c r="J42" i="6" s="1"/>
  <c r="O19" i="18"/>
  <c r="F26" i="10"/>
  <c r="O26" i="8"/>
  <c r="I20" i="12"/>
  <c r="I21" i="12"/>
  <c r="G49" i="20"/>
  <c r="G59" i="20" s="1"/>
  <c r="G33" i="20"/>
  <c r="G45" i="20"/>
  <c r="G55" i="20" s="1"/>
  <c r="G46" i="20"/>
  <c r="G56" i="20" s="1"/>
  <c r="G47" i="20"/>
  <c r="G57" i="20" s="1"/>
  <c r="G44" i="20"/>
  <c r="J20" i="12"/>
  <c r="G31" i="6"/>
  <c r="G38" i="6" s="1"/>
  <c r="G42" i="6" s="1"/>
  <c r="O13" i="2"/>
  <c r="E31" i="2"/>
  <c r="E38" i="2" s="1"/>
  <c r="E42" i="2" s="1"/>
  <c r="E40" i="9"/>
  <c r="E17" i="10" s="1"/>
  <c r="H18" i="13"/>
  <c r="G18" i="13"/>
  <c r="E31" i="7"/>
  <c r="E38" i="7" s="1"/>
  <c r="O13" i="7"/>
  <c r="O10" i="8"/>
  <c r="G40" i="8"/>
  <c r="F31" i="3"/>
  <c r="F9" i="11" s="1"/>
  <c r="L31" i="3"/>
  <c r="L9" i="11" s="1"/>
  <c r="O21" i="13"/>
  <c r="F45" i="18"/>
  <c r="O26" i="18"/>
  <c r="O34" i="16"/>
  <c r="O19" i="6"/>
  <c r="H23" i="13"/>
  <c r="O9" i="25"/>
  <c r="M40" i="4"/>
  <c r="O13" i="3"/>
  <c r="O19" i="2"/>
  <c r="E21" i="25"/>
  <c r="O17" i="25"/>
  <c r="E23" i="13"/>
  <c r="O22" i="13"/>
  <c r="G36" i="7"/>
  <c r="G26" i="10" s="1"/>
  <c r="J47" i="20"/>
  <c r="J57" i="20" s="1"/>
  <c r="J46" i="20"/>
  <c r="J56" i="20" s="1"/>
  <c r="J44" i="20"/>
  <c r="J33" i="20"/>
  <c r="J45" i="20"/>
  <c r="J55" i="20" s="1"/>
  <c r="J49" i="20"/>
  <c r="J59" i="20" s="1"/>
  <c r="K31" i="7"/>
  <c r="K12" i="10" s="1"/>
  <c r="E27" i="10"/>
  <c r="E28" i="10"/>
  <c r="O13" i="25"/>
  <c r="E49" i="14"/>
  <c r="K40" i="9"/>
  <c r="K20" i="10" s="1"/>
  <c r="O30" i="9"/>
  <c r="O35" i="17"/>
  <c r="H26" i="13"/>
  <c r="H30" i="13"/>
  <c r="H27" i="13"/>
  <c r="G40" i="5"/>
  <c r="O26" i="5"/>
  <c r="J31" i="3"/>
  <c r="J9" i="11" s="1"/>
  <c r="O19" i="3"/>
  <c r="M30" i="13"/>
  <c r="M26" i="13"/>
  <c r="M27" i="13"/>
  <c r="G33" i="14"/>
  <c r="O32" i="14"/>
  <c r="O29" i="7"/>
  <c r="J27" i="10"/>
  <c r="J26" i="10"/>
  <c r="F18" i="13"/>
  <c r="O17" i="13"/>
  <c r="E18" i="13"/>
  <c r="H22" i="11"/>
  <c r="K49" i="20"/>
  <c r="K59" i="20" s="1"/>
  <c r="K45" i="20"/>
  <c r="K55" i="20" s="1"/>
  <c r="K44" i="20"/>
  <c r="K47" i="20"/>
  <c r="K57" i="20" s="1"/>
  <c r="K46" i="20"/>
  <c r="K56" i="20" s="1"/>
  <c r="K33" i="20"/>
  <c r="G40" i="4"/>
  <c r="M49" i="20"/>
  <c r="M59" i="20" s="1"/>
  <c r="M47" i="20"/>
  <c r="M44" i="20"/>
  <c r="M54" i="20" s="1"/>
  <c r="M46" i="20"/>
  <c r="M56" i="20" s="1"/>
  <c r="M45" i="20"/>
  <c r="M55" i="20" s="1"/>
  <c r="M33" i="20"/>
  <c r="O33" i="6"/>
  <c r="H11" i="10"/>
  <c r="O36" i="6"/>
  <c r="K40" i="5"/>
  <c r="K21" i="11" s="1"/>
  <c r="O24" i="3"/>
  <c r="E41" i="16"/>
  <c r="O37" i="16"/>
  <c r="G31" i="7"/>
  <c r="G11" i="10" s="1"/>
  <c r="N27" i="10"/>
  <c r="E26" i="10"/>
  <c r="J40" i="5"/>
  <c r="H40" i="9"/>
  <c r="O10" i="9"/>
  <c r="N31" i="3"/>
  <c r="N9" i="11" s="1"/>
  <c r="H41" i="18"/>
  <c r="H45" i="18" s="1"/>
  <c r="O37" i="18"/>
  <c r="L23" i="13"/>
  <c r="M23" i="13"/>
  <c r="F31" i="7"/>
  <c r="F9" i="10" s="1"/>
  <c r="O33" i="7"/>
  <c r="G33" i="25"/>
  <c r="O32" i="25"/>
  <c r="F13" i="14"/>
  <c r="F17" i="14" s="1"/>
  <c r="F21" i="14" s="1"/>
  <c r="F25" i="14" s="1"/>
  <c r="F32" i="20"/>
  <c r="E45" i="25"/>
  <c r="I20" i="11"/>
  <c r="I22" i="11"/>
  <c r="O36" i="2"/>
  <c r="O36" i="5"/>
  <c r="H26" i="10"/>
  <c r="H28" i="10"/>
  <c r="N28" i="10"/>
  <c r="E32" i="20"/>
  <c r="E13" i="14"/>
  <c r="O9" i="14"/>
  <c r="O13" i="13"/>
  <c r="K36" i="7"/>
  <c r="E37" i="17"/>
  <c r="O12" i="12"/>
  <c r="E37" i="19"/>
  <c r="O27" i="19"/>
  <c r="N38" i="7" l="1"/>
  <c r="N42" i="7" s="1"/>
  <c r="K11" i="11"/>
  <c r="O27" i="11"/>
  <c r="J11" i="10"/>
  <c r="J38" i="7"/>
  <c r="J42" i="7" s="1"/>
  <c r="J12" i="10"/>
  <c r="J10" i="10"/>
  <c r="I38" i="3"/>
  <c r="I42" i="3" s="1"/>
  <c r="I11" i="11"/>
  <c r="I12" i="11"/>
  <c r="I10" i="11"/>
  <c r="I11" i="10"/>
  <c r="I48" i="20"/>
  <c r="I58" i="20" s="1"/>
  <c r="H38" i="3"/>
  <c r="H42" i="3" s="1"/>
  <c r="H38" i="7"/>
  <c r="H42" i="7" s="1"/>
  <c r="H9" i="10"/>
  <c r="F19" i="10"/>
  <c r="E11" i="11"/>
  <c r="H20" i="11"/>
  <c r="E38" i="3"/>
  <c r="E42" i="3" s="1"/>
  <c r="H17" i="11"/>
  <c r="H10" i="10"/>
  <c r="I19" i="11"/>
  <c r="K9" i="11"/>
  <c r="H16" i="11"/>
  <c r="M22" i="10"/>
  <c r="E9" i="11"/>
  <c r="H18" i="11"/>
  <c r="K10" i="11"/>
  <c r="K12" i="11"/>
  <c r="M16" i="11"/>
  <c r="N35" i="20"/>
  <c r="E12" i="11"/>
  <c r="I21" i="11"/>
  <c r="H19" i="11"/>
  <c r="I18" i="11"/>
  <c r="L33" i="20"/>
  <c r="L37" i="20" s="1"/>
  <c r="I16" i="11"/>
  <c r="M11" i="10"/>
  <c r="I38" i="7"/>
  <c r="I42" i="7" s="1"/>
  <c r="F20" i="11"/>
  <c r="F17" i="10"/>
  <c r="F22" i="10"/>
  <c r="F19" i="11"/>
  <c r="L16" i="11"/>
  <c r="N20" i="11"/>
  <c r="N16" i="11"/>
  <c r="L19" i="11"/>
  <c r="I10" i="10"/>
  <c r="F17" i="11"/>
  <c r="F18" i="10"/>
  <c r="F20" i="10"/>
  <c r="F16" i="11"/>
  <c r="N19" i="11"/>
  <c r="O26" i="13"/>
  <c r="I12" i="10"/>
  <c r="F16" i="10"/>
  <c r="F22" i="11"/>
  <c r="N21" i="11"/>
  <c r="G12" i="11"/>
  <c r="M18" i="10"/>
  <c r="M10" i="10"/>
  <c r="G10" i="11"/>
  <c r="N11" i="10"/>
  <c r="M17" i="10"/>
  <c r="M16" i="10"/>
  <c r="M20" i="10"/>
  <c r="M9" i="10"/>
  <c r="J20" i="10"/>
  <c r="N10" i="10"/>
  <c r="M12" i="11"/>
  <c r="I21" i="10"/>
  <c r="M21" i="10"/>
  <c r="I16" i="10"/>
  <c r="M38" i="7"/>
  <c r="M42" i="7" s="1"/>
  <c r="J19" i="10"/>
  <c r="J18" i="10"/>
  <c r="I19" i="10"/>
  <c r="O28" i="11"/>
  <c r="M11" i="11"/>
  <c r="J17" i="10"/>
  <c r="J22" i="10"/>
  <c r="N12" i="10"/>
  <c r="M9" i="11"/>
  <c r="N36" i="20"/>
  <c r="L49" i="20"/>
  <c r="L59" i="20" s="1"/>
  <c r="O30" i="13"/>
  <c r="N34" i="20"/>
  <c r="L44" i="20"/>
  <c r="L54" i="20" s="1"/>
  <c r="L46" i="20"/>
  <c r="L56" i="20" s="1"/>
  <c r="J16" i="10"/>
  <c r="I17" i="10"/>
  <c r="O26" i="11"/>
  <c r="L47" i="20"/>
  <c r="L57" i="20" s="1"/>
  <c r="G9" i="11"/>
  <c r="M10" i="11"/>
  <c r="G38" i="3"/>
  <c r="G42" i="3" s="1"/>
  <c r="I20" i="10"/>
  <c r="I18" i="10"/>
  <c r="O40" i="8"/>
  <c r="M18" i="11"/>
  <c r="E18" i="11"/>
  <c r="E20" i="11"/>
  <c r="E19" i="11"/>
  <c r="E16" i="11"/>
  <c r="H47" i="20"/>
  <c r="H57" i="20" s="1"/>
  <c r="H44" i="20"/>
  <c r="H33" i="20"/>
  <c r="H49" i="20"/>
  <c r="H59" i="20" s="1"/>
  <c r="H45" i="20"/>
  <c r="H55" i="20" s="1"/>
  <c r="H46" i="20"/>
  <c r="H56" i="20" s="1"/>
  <c r="E12" i="10"/>
  <c r="E22" i="11"/>
  <c r="M22" i="11"/>
  <c r="E9" i="10"/>
  <c r="M19" i="11"/>
  <c r="L38" i="7"/>
  <c r="L42" i="7" s="1"/>
  <c r="F11" i="11"/>
  <c r="L10" i="10"/>
  <c r="O27" i="13"/>
  <c r="E17" i="11"/>
  <c r="H9" i="11"/>
  <c r="M21" i="11"/>
  <c r="L12" i="10"/>
  <c r="O31" i="6"/>
  <c r="N48" i="20"/>
  <c r="N50" i="20" s="1"/>
  <c r="N60" i="20" s="1"/>
  <c r="O42" i="6"/>
  <c r="O21" i="12"/>
  <c r="H11" i="11"/>
  <c r="M17" i="11"/>
  <c r="H10" i="11"/>
  <c r="G12" i="10"/>
  <c r="O20" i="12"/>
  <c r="L11" i="10"/>
  <c r="G48" i="20"/>
  <c r="G54" i="20"/>
  <c r="G36" i="20"/>
  <c r="G35" i="20"/>
  <c r="G37" i="20"/>
  <c r="G34" i="20"/>
  <c r="L19" i="10"/>
  <c r="L17" i="10"/>
  <c r="L20" i="10"/>
  <c r="L22" i="10"/>
  <c r="L21" i="10"/>
  <c r="L18" i="10"/>
  <c r="F10" i="11"/>
  <c r="O38" i="6"/>
  <c r="G20" i="10"/>
  <c r="G21" i="10"/>
  <c r="G16" i="10"/>
  <c r="G22" i="10"/>
  <c r="G18" i="10"/>
  <c r="G19" i="10"/>
  <c r="N16" i="10"/>
  <c r="N22" i="10"/>
  <c r="N19" i="10"/>
  <c r="N20" i="10"/>
  <c r="N18" i="10"/>
  <c r="N21" i="10"/>
  <c r="N17" i="10"/>
  <c r="O45" i="18"/>
  <c r="J10" i="11"/>
  <c r="E18" i="10"/>
  <c r="E20" i="10"/>
  <c r="E21" i="10"/>
  <c r="E22" i="10"/>
  <c r="E16" i="10"/>
  <c r="E19" i="10"/>
  <c r="L16" i="10"/>
  <c r="O31" i="2"/>
  <c r="F38" i="2"/>
  <c r="E42" i="7"/>
  <c r="O32" i="20"/>
  <c r="E49" i="20"/>
  <c r="E46" i="20"/>
  <c r="E45" i="20"/>
  <c r="E44" i="20"/>
  <c r="E47" i="20"/>
  <c r="E33" i="20"/>
  <c r="F33" i="20"/>
  <c r="F47" i="20"/>
  <c r="F57" i="20" s="1"/>
  <c r="F46" i="20"/>
  <c r="F56" i="20" s="1"/>
  <c r="F44" i="20"/>
  <c r="F49" i="20"/>
  <c r="F59" i="20" s="1"/>
  <c r="F45" i="20"/>
  <c r="F55" i="20" s="1"/>
  <c r="J54" i="20"/>
  <c r="J48" i="20"/>
  <c r="K27" i="10"/>
  <c r="K28" i="10"/>
  <c r="K38" i="7"/>
  <c r="K42" i="7" s="1"/>
  <c r="H18" i="10"/>
  <c r="H22" i="10"/>
  <c r="H17" i="10"/>
  <c r="H21" i="10"/>
  <c r="H20" i="10"/>
  <c r="H19" i="10"/>
  <c r="O40" i="9"/>
  <c r="G16" i="11"/>
  <c r="G18" i="11"/>
  <c r="G17" i="11"/>
  <c r="G21" i="11"/>
  <c r="G22" i="11"/>
  <c r="O40" i="5"/>
  <c r="G20" i="11"/>
  <c r="O37" i="17"/>
  <c r="E41" i="17"/>
  <c r="N11" i="11"/>
  <c r="N12" i="11"/>
  <c r="N38" i="3"/>
  <c r="N42" i="3" s="1"/>
  <c r="N10" i="11"/>
  <c r="J19" i="11"/>
  <c r="J18" i="11"/>
  <c r="J16" i="11"/>
  <c r="J22" i="11"/>
  <c r="J20" i="11"/>
  <c r="J17" i="11"/>
  <c r="O40" i="4"/>
  <c r="K48" i="20"/>
  <c r="K54" i="20"/>
  <c r="G19" i="11"/>
  <c r="L11" i="11"/>
  <c r="L12" i="11"/>
  <c r="L38" i="3"/>
  <c r="L42" i="3" s="1"/>
  <c r="E49" i="25"/>
  <c r="F12" i="10"/>
  <c r="F11" i="10"/>
  <c r="F38" i="7"/>
  <c r="F42" i="7" s="1"/>
  <c r="F10" i="10"/>
  <c r="J21" i="11"/>
  <c r="K37" i="20"/>
  <c r="K35" i="20"/>
  <c r="K34" i="20"/>
  <c r="K36" i="20"/>
  <c r="L10" i="11"/>
  <c r="J38" i="3"/>
  <c r="J42" i="3" s="1"/>
  <c r="J12" i="11"/>
  <c r="J11" i="11"/>
  <c r="O18" i="13"/>
  <c r="K26" i="10"/>
  <c r="O26" i="10" s="1"/>
  <c r="E17" i="14"/>
  <c r="O13" i="14"/>
  <c r="G37" i="25"/>
  <c r="O33" i="25"/>
  <c r="H16" i="10"/>
  <c r="G9" i="10"/>
  <c r="G10" i="10"/>
  <c r="E45" i="16"/>
  <c r="O41" i="16"/>
  <c r="K19" i="11"/>
  <c r="K18" i="11"/>
  <c r="K20" i="11"/>
  <c r="K17" i="11"/>
  <c r="K16" i="11"/>
  <c r="K22" i="11"/>
  <c r="M35" i="20"/>
  <c r="M34" i="20"/>
  <c r="M37" i="20"/>
  <c r="M36" i="20"/>
  <c r="M48" i="20"/>
  <c r="M57" i="20"/>
  <c r="G37" i="14"/>
  <c r="O33" i="14"/>
  <c r="K18" i="10"/>
  <c r="K21" i="10"/>
  <c r="K19" i="10"/>
  <c r="K22" i="10"/>
  <c r="K17" i="10"/>
  <c r="K16" i="10"/>
  <c r="O36" i="7"/>
  <c r="K9" i="10"/>
  <c r="K10" i="10"/>
  <c r="K11" i="10"/>
  <c r="J35" i="20"/>
  <c r="J37" i="20"/>
  <c r="J34" i="20"/>
  <c r="J36" i="20"/>
  <c r="G27" i="10"/>
  <c r="G38" i="7"/>
  <c r="G42" i="7" s="1"/>
  <c r="G28" i="10"/>
  <c r="O23" i="13"/>
  <c r="E25" i="25"/>
  <c r="O21" i="25"/>
  <c r="O41" i="18"/>
  <c r="F38" i="3"/>
  <c r="F12" i="11"/>
  <c r="O31" i="3"/>
  <c r="E10" i="10"/>
  <c r="O31" i="7"/>
  <c r="E11" i="10"/>
  <c r="O37" i="19"/>
  <c r="E41" i="19"/>
  <c r="I50" i="20" l="1"/>
  <c r="I60" i="20" s="1"/>
  <c r="L36" i="20"/>
  <c r="L35" i="20"/>
  <c r="L34" i="20"/>
  <c r="N58" i="20"/>
  <c r="L48" i="20"/>
  <c r="L50" i="20" s="1"/>
  <c r="L60" i="20" s="1"/>
  <c r="O12" i="10"/>
  <c r="O9" i="11"/>
  <c r="O11" i="11"/>
  <c r="H54" i="20"/>
  <c r="H48" i="20"/>
  <c r="O10" i="11"/>
  <c r="H37" i="20"/>
  <c r="H34" i="20"/>
  <c r="H36" i="20"/>
  <c r="H35" i="20"/>
  <c r="O28" i="10"/>
  <c r="O9" i="10"/>
  <c r="O27" i="10"/>
  <c r="O20" i="10"/>
  <c r="O18" i="10"/>
  <c r="F42" i="2"/>
  <c r="O42" i="2" s="1"/>
  <c r="O38" i="2"/>
  <c r="O12" i="11"/>
  <c r="O21" i="11"/>
  <c r="G58" i="20"/>
  <c r="G50" i="20"/>
  <c r="G60" i="20" s="1"/>
  <c r="O45" i="16"/>
  <c r="G41" i="14"/>
  <c r="O37" i="14"/>
  <c r="O16" i="10"/>
  <c r="O11" i="10"/>
  <c r="O17" i="14"/>
  <c r="E21" i="14"/>
  <c r="O19" i="11"/>
  <c r="O17" i="10"/>
  <c r="E57" i="20"/>
  <c r="O47" i="20"/>
  <c r="E59" i="20"/>
  <c r="O49" i="20"/>
  <c r="F42" i="3"/>
  <c r="O42" i="3" s="1"/>
  <c r="O38" i="3"/>
  <c r="O25" i="25"/>
  <c r="M50" i="20"/>
  <c r="M60" i="20" s="1"/>
  <c r="M58" i="20"/>
  <c r="G41" i="25"/>
  <c r="O37" i="25"/>
  <c r="O20" i="11"/>
  <c r="O17" i="11"/>
  <c r="O19" i="10"/>
  <c r="O22" i="10"/>
  <c r="F36" i="20"/>
  <c r="F34" i="20"/>
  <c r="F37" i="20"/>
  <c r="F35" i="20"/>
  <c r="E54" i="20"/>
  <c r="E48" i="20"/>
  <c r="O44" i="20"/>
  <c r="K50" i="20"/>
  <c r="K60" i="20" s="1"/>
  <c r="K58" i="20"/>
  <c r="O41" i="17"/>
  <c r="E45" i="17"/>
  <c r="O18" i="11"/>
  <c r="J58" i="20"/>
  <c r="J50" i="20"/>
  <c r="J60" i="20" s="1"/>
  <c r="F48" i="20"/>
  <c r="F54" i="20"/>
  <c r="E55" i="20"/>
  <c r="O45" i="20"/>
  <c r="O38" i="7"/>
  <c r="O10" i="10"/>
  <c r="O22" i="11"/>
  <c r="O16" i="11"/>
  <c r="O21" i="10"/>
  <c r="E36" i="20"/>
  <c r="E37" i="20"/>
  <c r="O33" i="20"/>
  <c r="E34" i="20"/>
  <c r="E35" i="20"/>
  <c r="O46" i="20"/>
  <c r="E56" i="20"/>
  <c r="O42" i="7"/>
  <c r="E45" i="19"/>
  <c r="O41" i="19"/>
  <c r="L58" i="20" l="1"/>
  <c r="H50" i="20"/>
  <c r="H60" i="20" s="1"/>
  <c r="H58" i="20"/>
  <c r="O35" i="20"/>
  <c r="O36" i="20"/>
  <c r="E58" i="20"/>
  <c r="O48" i="20"/>
  <c r="E50" i="20"/>
  <c r="O59" i="20"/>
  <c r="O56" i="20"/>
  <c r="O34" i="20"/>
  <c r="O55" i="20"/>
  <c r="O54" i="20"/>
  <c r="E25" i="14"/>
  <c r="O21" i="14"/>
  <c r="O37" i="20"/>
  <c r="F58" i="20"/>
  <c r="F50" i="20"/>
  <c r="F60" i="20" s="1"/>
  <c r="O45" i="17"/>
  <c r="G45" i="25"/>
  <c r="O41" i="25"/>
  <c r="O57" i="20"/>
  <c r="G45" i="14"/>
  <c r="O41" i="14"/>
  <c r="O45" i="19"/>
  <c r="O58" i="20" l="1"/>
  <c r="G49" i="14"/>
  <c r="O49" i="14" s="1"/>
  <c r="O45" i="14"/>
  <c r="G49" i="25"/>
  <c r="O49" i="25" s="1"/>
  <c r="O45" i="25"/>
  <c r="O25" i="14"/>
  <c r="O50" i="20"/>
  <c r="E60" i="20"/>
  <c r="O60" i="20" l="1"/>
</calcChain>
</file>

<file path=xl/sharedStrings.xml><?xml version="1.0" encoding="utf-8"?>
<sst xmlns="http://schemas.openxmlformats.org/spreadsheetml/2006/main" count="981" uniqueCount="336">
  <si>
    <t>Z e i t v e r g l e i c h   d e r   H o l z e r t r ä g e</t>
  </si>
  <si>
    <t>Tabelle: 2.5/ 1</t>
  </si>
  <si>
    <t>Werte in € je Festmeter</t>
  </si>
  <si>
    <t>Ertragsart</t>
  </si>
  <si>
    <t>Holzverkauf nach Parität</t>
  </si>
  <si>
    <t>Holzverkauf nach Holzart</t>
  </si>
  <si>
    <t>Holzverkauf nach Sortiment</t>
  </si>
  <si>
    <t>Schwachholz-Sondersorten</t>
  </si>
  <si>
    <t>Industrieholz</t>
  </si>
  <si>
    <t>S t r u k t u r e n t w i c k l u n g   d e r   H o l z e r t r ä g e   1 :   Mengen</t>
  </si>
  <si>
    <t>Tabelle: 2.5/ 2</t>
  </si>
  <si>
    <t>Werte in Prozent</t>
  </si>
  <si>
    <t>S t r u k t u r e n t w i c k l u n g   d e r   H o l z e r t r ä g e   2 :   Werte</t>
  </si>
  <si>
    <t>Tabelle: 2.5/ 3</t>
  </si>
  <si>
    <t>Z e i t v e r g l e i c h   d e r   G r u p p e n m i t t e l w e r t e</t>
  </si>
  <si>
    <t>Verwaltung / allgem. Betrieb</t>
  </si>
  <si>
    <t>Mittel</t>
  </si>
  <si>
    <t>E n t w i c k l u n g   d e r   K o s t e n-   u n d   E r t r a g s s t r u k t u r</t>
  </si>
  <si>
    <t>Werte in Prozent; einschlagsbezogen</t>
  </si>
  <si>
    <t>KOSTEN</t>
  </si>
  <si>
    <t>ERTRÄGE</t>
  </si>
  <si>
    <t>Werte in Prozent; hiebsatzbezogen</t>
  </si>
  <si>
    <t>BG</t>
  </si>
  <si>
    <t>HS</t>
  </si>
  <si>
    <t>ES</t>
  </si>
  <si>
    <t>EW-Fl.</t>
  </si>
  <si>
    <t>Kst 11</t>
  </si>
  <si>
    <t>Kst 12</t>
  </si>
  <si>
    <t>Kst 13</t>
  </si>
  <si>
    <t>Kst 14</t>
  </si>
  <si>
    <t>Kst 15</t>
  </si>
  <si>
    <t>Kst 16</t>
  </si>
  <si>
    <t>Kst 21</t>
  </si>
  <si>
    <t>Kst 22</t>
  </si>
  <si>
    <t>Kst 23</t>
  </si>
  <si>
    <t>Kst 24</t>
  </si>
  <si>
    <t>Kst 31</t>
  </si>
  <si>
    <t>Kst 32</t>
  </si>
  <si>
    <t>Kst 33</t>
  </si>
  <si>
    <t>Kst 41</t>
  </si>
  <si>
    <t>Kst 42</t>
  </si>
  <si>
    <t>Kst 43</t>
  </si>
  <si>
    <t>Kst Summe</t>
  </si>
  <si>
    <t>Zinsen RBW</t>
  </si>
  <si>
    <t>Zinsen EHW</t>
  </si>
  <si>
    <t>Holzertrag</t>
  </si>
  <si>
    <t>Nebennutz.</t>
  </si>
  <si>
    <t>sonst. E.</t>
  </si>
  <si>
    <t>Forstbericht</t>
  </si>
  <si>
    <t>Pflanzenproduktion</t>
  </si>
  <si>
    <t>Bestandesbegründung</t>
  </si>
  <si>
    <t>Kultur- und Jungwuchspflege</t>
  </si>
  <si>
    <t>Standorts- und Bestandespflege</t>
  </si>
  <si>
    <t>Schutz vor Wildschäden</t>
  </si>
  <si>
    <t>Waldbaugemeinkosten</t>
  </si>
  <si>
    <t>Waldbau</t>
  </si>
  <si>
    <t>Fällung und Rückung</t>
  </si>
  <si>
    <t>Holztransport</t>
  </si>
  <si>
    <t>Holzbearbeitung</t>
  </si>
  <si>
    <t>Holzerntegemeinkosten</t>
  </si>
  <si>
    <t>Holzernte</t>
  </si>
  <si>
    <t>Bringungsanlagen</t>
  </si>
  <si>
    <t>Sonderanlagen</t>
  </si>
  <si>
    <t>Anlagen</t>
  </si>
  <si>
    <t>Dienstfahrzeuge</t>
  </si>
  <si>
    <t>Verwaltung</t>
  </si>
  <si>
    <t>allgemeiner Betrieb</t>
  </si>
  <si>
    <t>Kosten</t>
  </si>
  <si>
    <t>Holzerträge</t>
  </si>
  <si>
    <t>Nebennutzungen</t>
  </si>
  <si>
    <t>kalkulatorische Zinsen</t>
  </si>
  <si>
    <t>Erträge</t>
  </si>
  <si>
    <t>KOSTENSTELLE</t>
  </si>
  <si>
    <t>BETRIEBSERFOLG</t>
  </si>
  <si>
    <t>BETRIEBSERGEBNIS</t>
  </si>
  <si>
    <t>sonstige Erträge</t>
  </si>
  <si>
    <t>Kst 21*HS/ES</t>
  </si>
  <si>
    <t>Kst 22*HS/ES</t>
  </si>
  <si>
    <t>Kst 23*HS/ES</t>
  </si>
  <si>
    <t>Kst 24*HS/ES</t>
  </si>
  <si>
    <t>Holzmenge</t>
  </si>
  <si>
    <t>kalk. Zinsen vom Restbuchwert</t>
  </si>
  <si>
    <t>kalk. Zinsen vom Einheitswert</t>
  </si>
  <si>
    <t>Arbeitsstunden</t>
  </si>
  <si>
    <t>Investitionen</t>
  </si>
  <si>
    <t>Restbuchwerte</t>
  </si>
  <si>
    <t xml:space="preserve">Stunden </t>
  </si>
  <si>
    <t>Invest</t>
  </si>
  <si>
    <t>RBW</t>
  </si>
  <si>
    <t>Z e i t v e r g l e i c h   d e r   V e r m ö g e n s e n t w i c k l u n g</t>
  </si>
  <si>
    <t>Tabelle: 2.8/ 1</t>
  </si>
  <si>
    <t>absolute Werte in €/ha (ES)</t>
  </si>
  <si>
    <t>Abschreibungen</t>
  </si>
  <si>
    <t>Nettoinvestitionen</t>
  </si>
  <si>
    <t>Einheitswert</t>
  </si>
  <si>
    <t>'Anlagevermögen'</t>
  </si>
  <si>
    <t>Werte in % der Restbuchwerte</t>
  </si>
  <si>
    <t>Struktur des 'Anlagevermögens' (%)</t>
  </si>
  <si>
    <t>Struktur der Abschreibungen (%)</t>
  </si>
  <si>
    <t>Straßen</t>
  </si>
  <si>
    <t>Struktur der Investitionen (%)</t>
  </si>
  <si>
    <t>Struktur der Restbuchwerte (%)</t>
  </si>
  <si>
    <t>Afa WB</t>
  </si>
  <si>
    <t>Afa HE</t>
  </si>
  <si>
    <t>Afa Straßen</t>
  </si>
  <si>
    <t>Afa Gebäude</t>
  </si>
  <si>
    <t>Afa Verw</t>
  </si>
  <si>
    <t>Invest WB</t>
  </si>
  <si>
    <t>Invest HE</t>
  </si>
  <si>
    <t>Invest Straßen</t>
  </si>
  <si>
    <t>Invest Gebäude</t>
  </si>
  <si>
    <t>Invest Verw</t>
  </si>
  <si>
    <t>RBW WB</t>
  </si>
  <si>
    <t>RBW HE</t>
  </si>
  <si>
    <t>RBW Straßen</t>
  </si>
  <si>
    <t>RBW Gebäude</t>
  </si>
  <si>
    <t xml:space="preserve">HE </t>
  </si>
  <si>
    <t>Holzertrag transformiert</t>
  </si>
  <si>
    <t>Holzmenge transformiert</t>
  </si>
  <si>
    <t>KOSTENART</t>
  </si>
  <si>
    <t>Leistungslöhne</t>
  </si>
  <si>
    <t>Lohnnebenkosten</t>
  </si>
  <si>
    <t>Aufwandsersätze</t>
  </si>
  <si>
    <t>Lohnkosten</t>
  </si>
  <si>
    <t>Gehälter</t>
  </si>
  <si>
    <t>Sozialaufwand Angestellte</t>
  </si>
  <si>
    <t>Unternehmerlohn</t>
  </si>
  <si>
    <t>Energie</t>
  </si>
  <si>
    <t>Material</t>
  </si>
  <si>
    <t>Energie- und Materialkosten</t>
  </si>
  <si>
    <t>Gehaltskosten</t>
  </si>
  <si>
    <t>Unternehmereinsatz</t>
  </si>
  <si>
    <t>Unterhalt und Reparaturen</t>
  </si>
  <si>
    <t>Rechts- und Beratungskosten</t>
  </si>
  <si>
    <t>Mieten und Pachte</t>
  </si>
  <si>
    <t>zwischenbetriebl. Verrechnung</t>
  </si>
  <si>
    <t>Fremdleistungskosten</t>
  </si>
  <si>
    <t>Steuern und Abgaben vom EHW</t>
  </si>
  <si>
    <t>sonstige Abgaben und Gebühren</t>
  </si>
  <si>
    <t>Steuerkosten</t>
  </si>
  <si>
    <t>Reisekosten Angestellte</t>
  </si>
  <si>
    <t>Versicherungen</t>
  </si>
  <si>
    <t>Post, Telefon, Fax</t>
  </si>
  <si>
    <t>übrige Kosten</t>
  </si>
  <si>
    <t>sonstige Kosten</t>
  </si>
  <si>
    <t>Abschreibungskosten</t>
  </si>
  <si>
    <t>KOA 11</t>
  </si>
  <si>
    <t>KOA 12</t>
  </si>
  <si>
    <t>KOA 13</t>
  </si>
  <si>
    <t>KOA 21</t>
  </si>
  <si>
    <t>KOA 22</t>
  </si>
  <si>
    <t>KOA 23</t>
  </si>
  <si>
    <t>KOA 31</t>
  </si>
  <si>
    <t>KOA 32</t>
  </si>
  <si>
    <t>KOA 41</t>
  </si>
  <si>
    <t>KOA 42</t>
  </si>
  <si>
    <t>KOA 43</t>
  </si>
  <si>
    <t>KOA 44</t>
  </si>
  <si>
    <t>KOA 45</t>
  </si>
  <si>
    <t>KOA 51</t>
  </si>
  <si>
    <t>KOA 52</t>
  </si>
  <si>
    <t>KOA 61</t>
  </si>
  <si>
    <t>KOA 62</t>
  </si>
  <si>
    <t>KOA 63</t>
  </si>
  <si>
    <t>KOA 64</t>
  </si>
  <si>
    <t>KOA 71</t>
  </si>
  <si>
    <t>gesamt</t>
  </si>
  <si>
    <t>HE transf.</t>
  </si>
  <si>
    <t>in € je Efm bezogen auf den Einschlag</t>
  </si>
  <si>
    <t>in € je Efm</t>
  </si>
  <si>
    <t>in € je Efm bezogen auf den Hiebsatz</t>
  </si>
  <si>
    <t>in € je Hektar bezogen auf den Einschlag</t>
  </si>
  <si>
    <t>in € je Hektar bezogen auf den Hiebsatz</t>
  </si>
  <si>
    <t>Menge gefällt</t>
  </si>
  <si>
    <t>Menge gerückt</t>
  </si>
  <si>
    <t>Stückkosten: Fällung / Rückung</t>
  </si>
  <si>
    <t>Tabelle: 2.6/ 1a</t>
  </si>
  <si>
    <t>Z e i t v e r g l e i c h   E r t r a g   u n d   E r f o l g   d e r   H o l z p r o d u k t i o n</t>
  </si>
  <si>
    <t>Tabelle: 2.3/ 1</t>
  </si>
  <si>
    <t>Holzverkauf</t>
  </si>
  <si>
    <t>Holzvorratsänderungen</t>
  </si>
  <si>
    <t>Deputate und Eigenverbrauch</t>
  </si>
  <si>
    <t>Rohholzzukauf</t>
  </si>
  <si>
    <t>Entgelte Bringungsanlagen</t>
  </si>
  <si>
    <t>Entgelte Gebäude</t>
  </si>
  <si>
    <t>Entgelte Naturwaldzellen</t>
  </si>
  <si>
    <t>Entgelte Grundstücke</t>
  </si>
  <si>
    <t>Benützungsentgelte</t>
  </si>
  <si>
    <t>Kostenersätze</t>
  </si>
  <si>
    <t>Förderungen Waldbau</t>
  </si>
  <si>
    <t>Förderungen Bringungsanlagen</t>
  </si>
  <si>
    <t>Förderungen Personal</t>
  </si>
  <si>
    <t>Förderungen sonstiges</t>
  </si>
  <si>
    <t>Förderungen</t>
  </si>
  <si>
    <t>Summe Erträge</t>
  </si>
  <si>
    <t>Summe Kosten</t>
  </si>
  <si>
    <t>Tabelle: 2.3/ 1 a</t>
  </si>
  <si>
    <t>Nadel-Industrieholz</t>
  </si>
  <si>
    <t>Laub-Industrieholz</t>
  </si>
  <si>
    <t>Nadel-Brennholz</t>
  </si>
  <si>
    <t>Laub-Brennholz</t>
  </si>
  <si>
    <t>Daten für die Hitliste - Verkaufserträge je Festmeter frei Straße</t>
  </si>
  <si>
    <t>Tabelle: 2.3/ 2</t>
  </si>
  <si>
    <t>Tabelle: 2.3/ 3</t>
  </si>
  <si>
    <t>Tabelle: 2.3/ 4</t>
  </si>
  <si>
    <t>Z e i t v e r g l e i c h   d e r   W i r t s c h a f t s k e n n z a h l e n</t>
  </si>
  <si>
    <t>Tabelle: 2.4/ 1</t>
  </si>
  <si>
    <t>'Umsatz'</t>
  </si>
  <si>
    <t>'Betriebsleistung'</t>
  </si>
  <si>
    <t>'Wertschöpfung'</t>
  </si>
  <si>
    <t>'Cash-flow'</t>
  </si>
  <si>
    <t>Betriebserfolg</t>
  </si>
  <si>
    <t>2, in € je Hektar bezogen auf den Einschlag</t>
  </si>
  <si>
    <t>3, relative Maßzahlen (Werte in Prozent)</t>
  </si>
  <si>
    <t>Kostenergiebigkeit</t>
  </si>
  <si>
    <t>Umsatzrentabilität</t>
  </si>
  <si>
    <t>Wertschöpfung / Betriebsleistung</t>
  </si>
  <si>
    <t>Cash-flow Leistungsrate</t>
  </si>
  <si>
    <t>Rentabilität der Betriebsleistung</t>
  </si>
  <si>
    <t>4, Phasenkalkulation und Gewinnpunktrechnung</t>
  </si>
  <si>
    <t>Kosten Fällung/Rückung (€/fm)</t>
  </si>
  <si>
    <t>Deckungsbeitrag Holz (€/fm)</t>
  </si>
  <si>
    <t>Gewinnpunktintensität (fm/ha)</t>
  </si>
  <si>
    <t>Gewinnpunkt / Hiebsatz (%)</t>
  </si>
  <si>
    <t>Einschlag / Gewinnpunkt (%)</t>
  </si>
  <si>
    <t>Sicherheitskoeffizient - HS (%)</t>
  </si>
  <si>
    <t>Sicherheitskoeffizient - ES (%)</t>
  </si>
  <si>
    <t>Verkauf</t>
  </si>
  <si>
    <t>Vorratsänd.</t>
  </si>
  <si>
    <t>Dep</t>
  </si>
  <si>
    <t>Zukauf</t>
  </si>
  <si>
    <t>Stock</t>
  </si>
  <si>
    <t>Waldort</t>
  </si>
  <si>
    <t>Straße</t>
  </si>
  <si>
    <t>Holzhof</t>
  </si>
  <si>
    <t>Bahn, Hafen</t>
  </si>
  <si>
    <t>Haus, Werk</t>
  </si>
  <si>
    <t>Grenze, Export</t>
  </si>
  <si>
    <t>Nadelholz</t>
  </si>
  <si>
    <t>Laubholz</t>
  </si>
  <si>
    <t>Starkholz</t>
  </si>
  <si>
    <t>Schwach-SS</t>
  </si>
  <si>
    <t>Industrieh.</t>
  </si>
  <si>
    <t>Brennholz</t>
  </si>
  <si>
    <t>unausgeformt</t>
  </si>
  <si>
    <t>Tabelle: 2.6/ 1</t>
  </si>
  <si>
    <t>Tabelle: 2.7/ 2</t>
  </si>
  <si>
    <t>Tabelle: 2.7/ 1</t>
  </si>
  <si>
    <t>Tabelle: 2.6/ 8</t>
  </si>
  <si>
    <t>Tabelle: 2.6/ 7</t>
  </si>
  <si>
    <t>Tabelle: 2.6/ 6</t>
  </si>
  <si>
    <t>Tabelle: 2.6/ 5</t>
  </si>
  <si>
    <t>Tabelle: 2.6/ 4</t>
  </si>
  <si>
    <t>Tabelle: 2.6/ 3</t>
  </si>
  <si>
    <t>Tabelle: 2.6/ 2</t>
  </si>
  <si>
    <t>Forstgebäude</t>
  </si>
  <si>
    <t>RBW Verw</t>
  </si>
  <si>
    <t>Ges-Waldfl.</t>
  </si>
  <si>
    <t>A l l g e m e i n e   K e n n d a t e n</t>
  </si>
  <si>
    <t>Tabelle: 2.1/ 1</t>
  </si>
  <si>
    <t>Anzahl der Betriebe</t>
  </si>
  <si>
    <t>Gesamtwaldfläche (ha)</t>
  </si>
  <si>
    <t>Gesamtwaldfläche je Betrieb (ha)</t>
  </si>
  <si>
    <t>Ertragswaldfläche (ha)</t>
  </si>
  <si>
    <t>Ertragswaldfläche je Betrieb (ha)</t>
  </si>
  <si>
    <t>Hiebsatz (Efm)</t>
  </si>
  <si>
    <t>Hiebsatz je Betrieb (Efm)</t>
  </si>
  <si>
    <t>Hiebsatz je Hektar (Efm/ha)</t>
  </si>
  <si>
    <t>Hiebsatzindex (%)</t>
  </si>
  <si>
    <t>Einschlag (Efm)</t>
  </si>
  <si>
    <t>Einschlag je Betrieb (Efm)</t>
  </si>
  <si>
    <t>Einschlag je Hektar (Efm/ha)</t>
  </si>
  <si>
    <t>Einschlagindex (%)</t>
  </si>
  <si>
    <t>Mehrnutzung (Efm)</t>
  </si>
  <si>
    <t>Mehrnutzung je Betrieb (Efm)</t>
  </si>
  <si>
    <t>Mehrnutzung je Hektar (Efm/ha)</t>
  </si>
  <si>
    <t>Einschlag in % des Hiebsatzes</t>
  </si>
  <si>
    <t>Mehrnutzung in % des Einschlags</t>
  </si>
  <si>
    <t>Erträge 1. Produktionsstufe</t>
  </si>
  <si>
    <t>D e c k u n g s b e i t r a g s k a l k u l a t i o n   --   Z e i t r e i h e</t>
  </si>
  <si>
    <t>Tabelle: 2.2/ 1</t>
  </si>
  <si>
    <t>1, in € je Efm bezogen auf den Einschlag</t>
  </si>
  <si>
    <t xml:space="preserve">   Holzerträge</t>
  </si>
  <si>
    <t>= Deckungsbeitrag I</t>
  </si>
  <si>
    <t>+ Erträge 1. Produktionsstufe</t>
  </si>
  <si>
    <t>-- Waldbaukosten</t>
  </si>
  <si>
    <t>+ sonstige Erträge</t>
  </si>
  <si>
    <t>-- Verwaltungskosten</t>
  </si>
  <si>
    <t>= Betriebserfolg</t>
  </si>
  <si>
    <t>2, in € je Efm bezogen auf den Hiebsatz</t>
  </si>
  <si>
    <t>3, in € je Hektar bezogen auf den Einschlag</t>
  </si>
  <si>
    <t>4, in € je Hektar bezogen auf den Hiebsatz</t>
  </si>
  <si>
    <t>Menge NH-Stark-Straße</t>
  </si>
  <si>
    <t>Sägerundholz</t>
  </si>
  <si>
    <t xml:space="preserve">  Summe Sägeholz</t>
  </si>
  <si>
    <t>Nadel-Sägerundholz</t>
  </si>
  <si>
    <t>Laub-Sägerundholz</t>
  </si>
  <si>
    <t>+ Erträge Bringungsanlagen</t>
  </si>
  <si>
    <t>-- Kosten Bringungsanlagen</t>
  </si>
  <si>
    <t>+ Erträge Gebäude &amp; Anlagen</t>
  </si>
  <si>
    <t>-- Kosten Gebäude &amp; Anlagen</t>
  </si>
  <si>
    <t>= Deckungsbeitrag III</t>
  </si>
  <si>
    <t>-- Holzerntekosten netto</t>
  </si>
  <si>
    <t>Holzerträge brutto</t>
  </si>
  <si>
    <t>Kostenersätze Waldbau</t>
  </si>
  <si>
    <t>Kostenersätze Holzernte</t>
  </si>
  <si>
    <t>Kostenersätze Bringungsanlagen</t>
  </si>
  <si>
    <t>Kostenersätze Gebäude</t>
  </si>
  <si>
    <t>Kostenersätze Verwaltung</t>
  </si>
  <si>
    <t>Förderungen Holzernte</t>
  </si>
  <si>
    <t>Förderungen Gebäude &amp; Anlagen</t>
  </si>
  <si>
    <t>Entgelte Maschinen &amp; sonstiges</t>
  </si>
  <si>
    <t>Holzernteertrag transformiert</t>
  </si>
  <si>
    <t>= Deckungsbeitrag II</t>
  </si>
  <si>
    <t>= Deckungsbeitrag IV</t>
  </si>
  <si>
    <t>DB Jagd</t>
  </si>
  <si>
    <t>Gebäude &amp; sonstige Anlagen</t>
  </si>
  <si>
    <t>Summe Holzproduktion</t>
  </si>
  <si>
    <t>Jagdbetrieb</t>
  </si>
  <si>
    <t>Summe Holzproduktion &amp; Jagd</t>
  </si>
  <si>
    <t>Tabelle: 2.4/ 2</t>
  </si>
  <si>
    <t>5, Deckungseinschläge (Werte in Efm/ha)</t>
  </si>
  <si>
    <t>6, Deckungseinschläge in % des Hiebsatzes (Werte in Prozent)</t>
  </si>
  <si>
    <t>Größenklasse 3: &gt; 5.000 ha</t>
  </si>
  <si>
    <t>Gesamtmittel aller Statistikbetriebe &gt; 500 ha</t>
  </si>
  <si>
    <t>Produktionsgebiet 1: Alpenvorland</t>
  </si>
  <si>
    <t>Produktionsgebiet 2: Wald- und Mühlviertel</t>
  </si>
  <si>
    <t>Produktionsgebiet 3: östliches Flach- und Hügelland</t>
  </si>
  <si>
    <t>Produktionsgebiet 4: Alpenostrand</t>
  </si>
  <si>
    <t>Produktionsgebiet 5: Kalkalpen</t>
  </si>
  <si>
    <t>Produktionsgebiet 6: Zentralalpen</t>
  </si>
  <si>
    <t>Größenklasse 1: 500 - 1.200 ha</t>
  </si>
  <si>
    <t>Größenklasse 2: 1.200 - 5.000 ha</t>
  </si>
  <si>
    <t>Tabelle: 2.2/ 2</t>
  </si>
  <si>
    <t>Alpengebiet</t>
  </si>
  <si>
    <t>außeralpin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</si>
</sst>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.0"/>
  </numFmts>
  <fonts count="9" x14ac:knownFonts="1">
    <font>
      <sz val="10"/>
      <name val="Arial"/>
    </font>
    <font>
      <b/>
      <sz val="10"/>
      <name val="Arial"/>
      <family val="2"/>
    </font>
    <font>
      <b/>
      <sz val="12"/>
      <name val="Arial"/>
      <family val="2"/>
    </font>
    <font>
      <b/>
      <i/>
      <sz val="10"/>
      <name val="Arial"/>
      <family val="2"/>
    </font>
    <font>
      <sz val="10"/>
      <name val="Arial"/>
      <family val="2"/>
    </font>
    <font>
      <i/>
      <sz val="10"/>
      <name val="Arial"/>
      <family val="2"/>
    </font>
    <font>
      <b/>
      <i/>
      <sz val="10"/>
      <name val="Arial"/>
      <family val="2"/>
    </font>
    <font>
      <b/>
      <sz val="10"/>
      <name val="Arial"/>
      <family val="2"/>
    </font>
    <font>
      <sz val="8"/>
      <name val="Arial"/>
      <family val="2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/>
  </cellStyleXfs>
  <cellXfs count="41">
    <xf numFmtId="0" fontId="0" fillId="0" borderId="0" xfId="0"/>
    <xf numFmtId="0" fontId="1" fillId="0" borderId="0" xfId="0" applyFont="1"/>
    <xf numFmtId="0" fontId="0" fillId="0" borderId="0" xfId="0" applyAlignment="1">
      <alignment horizontal="center"/>
    </xf>
    <xf numFmtId="0" fontId="0" fillId="0" borderId="0" xfId="0" applyAlignment="1">
      <alignment horizontal="right"/>
    </xf>
    <xf numFmtId="0" fontId="3" fillId="0" borderId="0" xfId="0" applyFont="1"/>
    <xf numFmtId="0" fontId="3" fillId="0" borderId="0" xfId="0" applyFont="1" applyAlignment="1">
      <alignment horizontal="center"/>
    </xf>
    <xf numFmtId="4" fontId="0" fillId="0" borderId="0" xfId="0" applyNumberFormat="1" applyAlignment="1">
      <alignment horizontal="right"/>
    </xf>
    <xf numFmtId="4" fontId="1" fillId="0" borderId="0" xfId="0" applyNumberFormat="1" applyFont="1" applyAlignment="1">
      <alignment horizontal="right"/>
    </xf>
    <xf numFmtId="4" fontId="3" fillId="0" borderId="0" xfId="0" applyNumberFormat="1" applyFont="1" applyAlignment="1">
      <alignment horizontal="right"/>
    </xf>
    <xf numFmtId="0" fontId="1" fillId="0" borderId="1" xfId="0" applyFont="1" applyBorder="1"/>
    <xf numFmtId="0" fontId="0" fillId="0" borderId="1" xfId="0" applyBorder="1"/>
    <xf numFmtId="4" fontId="1" fillId="0" borderId="1" xfId="0" applyNumberFormat="1" applyFont="1" applyBorder="1" applyAlignment="1">
      <alignment horizontal="right"/>
    </xf>
    <xf numFmtId="0" fontId="0" fillId="0" borderId="0" xfId="0" applyAlignment="1">
      <alignment horizontal="left"/>
    </xf>
    <xf numFmtId="0" fontId="4" fillId="0" borderId="0" xfId="0" applyFont="1"/>
    <xf numFmtId="0" fontId="5" fillId="0" borderId="0" xfId="0" applyFont="1"/>
    <xf numFmtId="4" fontId="5" fillId="0" borderId="0" xfId="0" applyNumberFormat="1" applyFont="1" applyAlignment="1">
      <alignment horizontal="right"/>
    </xf>
    <xf numFmtId="4" fontId="4" fillId="0" borderId="0" xfId="0" applyNumberFormat="1" applyFont="1" applyAlignment="1">
      <alignment horizontal="right"/>
    </xf>
    <xf numFmtId="4" fontId="0" fillId="0" borderId="0" xfId="0" applyNumberFormat="1"/>
    <xf numFmtId="0" fontId="1" fillId="0" borderId="0" xfId="0" applyFont="1" applyAlignment="1">
      <alignment horizontal="center"/>
    </xf>
    <xf numFmtId="0" fontId="0" fillId="0" borderId="0" xfId="0" quotePrefix="1"/>
    <xf numFmtId="3" fontId="0" fillId="0" borderId="0" xfId="0" applyNumberFormat="1" applyAlignment="1">
      <alignment horizontal="right"/>
    </xf>
    <xf numFmtId="0" fontId="3" fillId="0" borderId="0" xfId="0" applyFont="1" applyAlignment="1">
      <alignment horizontal="left"/>
    </xf>
    <xf numFmtId="164" fontId="0" fillId="0" borderId="0" xfId="0" applyNumberFormat="1" applyAlignment="1">
      <alignment horizontal="right"/>
    </xf>
    <xf numFmtId="164" fontId="3" fillId="0" borderId="0" xfId="0" applyNumberFormat="1" applyFont="1" applyAlignment="1">
      <alignment horizontal="right"/>
    </xf>
    <xf numFmtId="164" fontId="1" fillId="0" borderId="0" xfId="0" applyNumberFormat="1" applyFont="1" applyAlignment="1">
      <alignment horizontal="right"/>
    </xf>
    <xf numFmtId="164" fontId="4" fillId="0" borderId="0" xfId="0" applyNumberFormat="1" applyFont="1" applyAlignment="1">
      <alignment horizontal="right"/>
    </xf>
    <xf numFmtId="49" fontId="0" fillId="0" borderId="0" xfId="0" applyNumberFormat="1"/>
    <xf numFmtId="49" fontId="3" fillId="0" borderId="0" xfId="0" applyNumberFormat="1" applyFont="1"/>
    <xf numFmtId="0" fontId="6" fillId="0" borderId="0" xfId="0" applyFont="1"/>
    <xf numFmtId="0" fontId="7" fillId="0" borderId="0" xfId="0" applyFont="1"/>
    <xf numFmtId="4" fontId="1" fillId="0" borderId="0" xfId="0" applyNumberFormat="1" applyFont="1"/>
    <xf numFmtId="0" fontId="7" fillId="0" borderId="1" xfId="0" applyFont="1" applyBorder="1"/>
    <xf numFmtId="164" fontId="5" fillId="0" borderId="0" xfId="0" applyNumberFormat="1" applyFont="1" applyAlignment="1">
      <alignment horizontal="right"/>
    </xf>
    <xf numFmtId="4" fontId="3" fillId="0" borderId="0" xfId="0" applyNumberFormat="1" applyFont="1"/>
    <xf numFmtId="0" fontId="4" fillId="0" borderId="0" xfId="0" applyFont="1" applyAlignment="1">
      <alignment horizontal="right"/>
    </xf>
    <xf numFmtId="3" fontId="0" fillId="0" borderId="0" xfId="0" applyNumberFormat="1"/>
    <xf numFmtId="0" fontId="2" fillId="0" borderId="0" xfId="0" applyFont="1" applyAlignment="1">
      <alignment horizontal="center"/>
    </xf>
    <xf numFmtId="0" fontId="3" fillId="0" borderId="0" xfId="0" applyFont="1" applyAlignment="1">
      <alignment horizontal="center"/>
    </xf>
    <xf numFmtId="0" fontId="1" fillId="0" borderId="0" xfId="0" applyFont="1" applyAlignment="1">
      <alignment horizontal="center"/>
    </xf>
    <xf numFmtId="0" fontId="0" fillId="0" borderId="0" xfId="0" applyAlignment="1">
      <alignment horizontal="center"/>
    </xf>
    <xf numFmtId="0" fontId="0" fillId="0" borderId="0" xfId="0"/>
  </cellXfs>
  <cellStyles count="1">
    <cellStyle name="Stand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styles" Target="styles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theme" Target="theme/theme1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calcChain" Target="calcChain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4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O212"/>
  <sheetViews>
    <sheetView workbookViewId="0">
      <selection activeCell="O11" sqref="O11:O12"/>
    </sheetView>
  </sheetViews>
  <sheetFormatPr baseColWidth="10" defaultRowHeight="12.75" x14ac:dyDescent="0.2"/>
  <cols>
    <col min="1" max="10" width="28.7109375" customWidth="1"/>
    <col min="11" max="11" width="17.85546875" customWidth="1"/>
    <col min="13" max="13" width="41.85546875" customWidth="1"/>
    <col min="14" max="14" width="5.140625" customWidth="1"/>
    <col min="15" max="15" width="49.42578125" customWidth="1"/>
  </cols>
  <sheetData>
    <row r="1" spans="1:15" x14ac:dyDescent="0.2">
      <c r="A1">
        <v>4</v>
      </c>
      <c r="B1">
        <v>5</v>
      </c>
      <c r="C1">
        <v>5</v>
      </c>
      <c r="D1">
        <v>5</v>
      </c>
      <c r="E1">
        <v>5</v>
      </c>
      <c r="F1">
        <v>5</v>
      </c>
      <c r="G1">
        <v>5</v>
      </c>
      <c r="H1">
        <v>5</v>
      </c>
      <c r="I1">
        <v>3</v>
      </c>
      <c r="J1">
        <v>4</v>
      </c>
      <c r="K1">
        <v>5</v>
      </c>
      <c r="M1" s="4" t="s">
        <v>324</v>
      </c>
      <c r="N1" s="13">
        <v>2</v>
      </c>
      <c r="O1" s="4" t="s">
        <v>324</v>
      </c>
    </row>
    <row r="2" spans="1:15" x14ac:dyDescent="0.2">
      <c r="M2" s="4"/>
      <c r="N2" s="13">
        <v>31</v>
      </c>
      <c r="O2" s="4" t="s">
        <v>325</v>
      </c>
    </row>
    <row r="3" spans="1:15" x14ac:dyDescent="0.2">
      <c r="A3">
        <v>2024</v>
      </c>
      <c r="N3" s="13">
        <v>32</v>
      </c>
      <c r="O3" s="4" t="s">
        <v>326</v>
      </c>
    </row>
    <row r="4" spans="1:15" x14ac:dyDescent="0.2">
      <c r="A4">
        <v>3.25</v>
      </c>
      <c r="B4">
        <v>4.5999999999999996</v>
      </c>
      <c r="C4">
        <v>4.5999999999999996</v>
      </c>
      <c r="D4">
        <v>4.5999999999999996</v>
      </c>
      <c r="E4">
        <v>4.5999999999999996</v>
      </c>
      <c r="F4">
        <v>4.5999999999999996</v>
      </c>
      <c r="G4">
        <v>4.5999999999999996</v>
      </c>
      <c r="H4">
        <v>4.5999999999999996</v>
      </c>
      <c r="I4">
        <v>4</v>
      </c>
      <c r="J4">
        <v>3.25</v>
      </c>
      <c r="K4" t="s">
        <v>22</v>
      </c>
      <c r="N4" s="13">
        <v>33</v>
      </c>
      <c r="O4" s="4" t="s">
        <v>327</v>
      </c>
    </row>
    <row r="5" spans="1:15" x14ac:dyDescent="0.2">
      <c r="A5">
        <v>66000</v>
      </c>
      <c r="B5">
        <v>72600</v>
      </c>
      <c r="C5">
        <v>72600</v>
      </c>
      <c r="D5">
        <v>72600</v>
      </c>
      <c r="E5">
        <v>77600</v>
      </c>
      <c r="F5">
        <v>80400</v>
      </c>
      <c r="G5">
        <v>81400</v>
      </c>
      <c r="H5">
        <v>82400</v>
      </c>
      <c r="I5">
        <v>48700</v>
      </c>
      <c r="J5">
        <v>68700</v>
      </c>
      <c r="K5">
        <v>68063</v>
      </c>
      <c r="L5" t="s">
        <v>23</v>
      </c>
      <c r="N5" s="13">
        <v>34</v>
      </c>
      <c r="O5" s="4" t="s">
        <v>328</v>
      </c>
    </row>
    <row r="6" spans="1:15" x14ac:dyDescent="0.2">
      <c r="A6">
        <v>64973</v>
      </c>
      <c r="B6">
        <v>69697</v>
      </c>
      <c r="C6">
        <v>79688</v>
      </c>
      <c r="D6">
        <v>78303</v>
      </c>
      <c r="E6">
        <v>75945.36</v>
      </c>
      <c r="F6">
        <v>85053.95</v>
      </c>
      <c r="G6">
        <v>84356.57</v>
      </c>
      <c r="H6">
        <v>81895</v>
      </c>
      <c r="I6">
        <v>48068.51</v>
      </c>
      <c r="J6">
        <v>80494</v>
      </c>
      <c r="K6">
        <v>76646.509999999995</v>
      </c>
      <c r="L6" t="s">
        <v>24</v>
      </c>
      <c r="N6" s="13">
        <v>35</v>
      </c>
      <c r="O6" s="4" t="s">
        <v>329</v>
      </c>
    </row>
    <row r="7" spans="1:15" x14ac:dyDescent="0.2">
      <c r="A7">
        <v>10141</v>
      </c>
      <c r="B7">
        <v>10891</v>
      </c>
      <c r="C7">
        <v>10891</v>
      </c>
      <c r="D7">
        <v>10890</v>
      </c>
      <c r="E7">
        <v>10890</v>
      </c>
      <c r="F7">
        <v>10773</v>
      </c>
      <c r="G7">
        <v>10773</v>
      </c>
      <c r="H7">
        <v>10639</v>
      </c>
      <c r="I7">
        <v>5971</v>
      </c>
      <c r="J7">
        <v>8426</v>
      </c>
      <c r="K7">
        <v>8958</v>
      </c>
      <c r="L7" t="s">
        <v>25</v>
      </c>
      <c r="N7" s="13">
        <v>36</v>
      </c>
      <c r="O7" s="4" t="s">
        <v>330</v>
      </c>
    </row>
    <row r="8" spans="1:15" x14ac:dyDescent="0.2">
      <c r="A8">
        <v>0</v>
      </c>
      <c r="B8">
        <v>0</v>
      </c>
      <c r="C8">
        <v>0</v>
      </c>
      <c r="D8">
        <v>0</v>
      </c>
      <c r="E8">
        <v>8541</v>
      </c>
      <c r="F8">
        <v>7723.99</v>
      </c>
      <c r="G8">
        <v>0</v>
      </c>
      <c r="H8">
        <v>132.30000000000001</v>
      </c>
      <c r="I8">
        <v>3052.39</v>
      </c>
      <c r="J8">
        <v>0</v>
      </c>
      <c r="K8" t="s">
        <v>26</v>
      </c>
      <c r="N8" s="13">
        <v>41</v>
      </c>
      <c r="O8" s="4" t="s">
        <v>331</v>
      </c>
    </row>
    <row r="9" spans="1:15" x14ac:dyDescent="0.2">
      <c r="A9">
        <v>283273.28000000003</v>
      </c>
      <c r="B9">
        <v>348227.87</v>
      </c>
      <c r="C9">
        <v>349884.39</v>
      </c>
      <c r="D9">
        <v>309405.84000000003</v>
      </c>
      <c r="E9">
        <v>321969.81</v>
      </c>
      <c r="F9">
        <v>275412.33</v>
      </c>
      <c r="G9">
        <v>232399.02</v>
      </c>
      <c r="H9">
        <v>274374.49</v>
      </c>
      <c r="I9">
        <v>179492.47</v>
      </c>
      <c r="J9">
        <v>215532.17</v>
      </c>
      <c r="K9" t="s">
        <v>27</v>
      </c>
      <c r="N9" s="13">
        <v>42</v>
      </c>
      <c r="O9" s="4" t="s">
        <v>332</v>
      </c>
    </row>
    <row r="10" spans="1:15" x14ac:dyDescent="0.2">
      <c r="A10">
        <v>387009.54</v>
      </c>
      <c r="B10">
        <v>329772.27</v>
      </c>
      <c r="C10">
        <v>318859.36</v>
      </c>
      <c r="D10">
        <v>380741.74</v>
      </c>
      <c r="E10">
        <v>390165.1</v>
      </c>
      <c r="F10">
        <v>390114.01</v>
      </c>
      <c r="G10">
        <v>410489.11</v>
      </c>
      <c r="H10">
        <v>259067.19</v>
      </c>
      <c r="I10">
        <v>155273.94</v>
      </c>
      <c r="J10">
        <v>145645.96</v>
      </c>
      <c r="K10" t="s">
        <v>28</v>
      </c>
      <c r="N10" s="13">
        <v>43</v>
      </c>
      <c r="O10" s="4" t="s">
        <v>323</v>
      </c>
    </row>
    <row r="11" spans="1:15" x14ac:dyDescent="0.2">
      <c r="A11">
        <v>149519.26</v>
      </c>
      <c r="B11">
        <v>35232.120000000003</v>
      </c>
      <c r="C11">
        <v>19711.82</v>
      </c>
      <c r="D11">
        <v>62233.25</v>
      </c>
      <c r="E11">
        <v>51806.49</v>
      </c>
      <c r="F11">
        <v>57895.78</v>
      </c>
      <c r="G11">
        <v>95841.42</v>
      </c>
      <c r="H11">
        <v>76685.97</v>
      </c>
      <c r="I11">
        <v>94233.79</v>
      </c>
      <c r="J11">
        <v>87090</v>
      </c>
      <c r="K11" t="s">
        <v>29</v>
      </c>
      <c r="O11" s="4" t="s">
        <v>334</v>
      </c>
    </row>
    <row r="12" spans="1:15" x14ac:dyDescent="0.2">
      <c r="A12">
        <v>171773.72</v>
      </c>
      <c r="B12">
        <v>158150.98000000001</v>
      </c>
      <c r="C12">
        <v>138998.82</v>
      </c>
      <c r="D12">
        <v>173670.31</v>
      </c>
      <c r="E12">
        <v>171166.75</v>
      </c>
      <c r="F12">
        <v>154975.01999999999</v>
      </c>
      <c r="G12">
        <v>189161.01</v>
      </c>
      <c r="H12">
        <v>178694.71</v>
      </c>
      <c r="I12">
        <v>234769.47</v>
      </c>
      <c r="J12">
        <v>252884.45</v>
      </c>
      <c r="K12" t="s">
        <v>30</v>
      </c>
      <c r="O12" s="4" t="s">
        <v>335</v>
      </c>
    </row>
    <row r="13" spans="1:15" x14ac:dyDescent="0.2">
      <c r="A13">
        <v>51548.27</v>
      </c>
      <c r="B13">
        <v>52202.29</v>
      </c>
      <c r="C13">
        <v>37266.050000000003</v>
      </c>
      <c r="D13">
        <v>38894.79</v>
      </c>
      <c r="E13">
        <v>37200.550000000003</v>
      </c>
      <c r="F13">
        <v>35638.720000000001</v>
      </c>
      <c r="G13">
        <v>21311.84</v>
      </c>
      <c r="H13">
        <v>16952.419999999998</v>
      </c>
      <c r="I13">
        <v>25622.31</v>
      </c>
      <c r="J13">
        <v>28092.07</v>
      </c>
      <c r="K13" t="s">
        <v>31</v>
      </c>
    </row>
    <row r="14" spans="1:15" x14ac:dyDescent="0.2">
      <c r="A14">
        <v>1840397.18</v>
      </c>
      <c r="B14">
        <v>1797200.78</v>
      </c>
      <c r="C14">
        <v>1674558.87</v>
      </c>
      <c r="D14">
        <v>1740878.36</v>
      </c>
      <c r="E14">
        <v>1628448.78</v>
      </c>
      <c r="F14">
        <v>1714258.6</v>
      </c>
      <c r="G14">
        <v>1585658.35</v>
      </c>
      <c r="H14">
        <v>1624285.73</v>
      </c>
      <c r="I14">
        <v>1030825.86</v>
      </c>
      <c r="J14">
        <v>1897768.74</v>
      </c>
      <c r="K14" t="s">
        <v>32</v>
      </c>
    </row>
    <row r="15" spans="1:15" x14ac:dyDescent="0.2">
      <c r="A15">
        <v>426820.9</v>
      </c>
      <c r="B15">
        <v>396024.57</v>
      </c>
      <c r="C15">
        <v>354971.56</v>
      </c>
      <c r="D15">
        <v>344056.59</v>
      </c>
      <c r="E15">
        <v>329371.25</v>
      </c>
      <c r="F15">
        <v>306075.51</v>
      </c>
      <c r="G15">
        <v>320316.05</v>
      </c>
      <c r="H15">
        <v>320660.8</v>
      </c>
      <c r="I15">
        <v>80049.039999999994</v>
      </c>
      <c r="J15">
        <v>215618.71</v>
      </c>
      <c r="K15" t="s">
        <v>33</v>
      </c>
    </row>
    <row r="16" spans="1:15" x14ac:dyDescent="0.2">
      <c r="A16">
        <v>324002.46000000002</v>
      </c>
      <c r="B16">
        <v>254969.11</v>
      </c>
      <c r="C16">
        <v>207434.9</v>
      </c>
      <c r="D16">
        <v>197505.33</v>
      </c>
      <c r="E16">
        <v>247786.38</v>
      </c>
      <c r="F16">
        <v>280644.03999999998</v>
      </c>
      <c r="G16">
        <v>323137.71000000002</v>
      </c>
      <c r="H16">
        <v>295941.49</v>
      </c>
      <c r="I16">
        <v>679.83</v>
      </c>
      <c r="J16">
        <v>31296.11</v>
      </c>
      <c r="K16" t="s">
        <v>34</v>
      </c>
    </row>
    <row r="17" spans="1:11" x14ac:dyDescent="0.2">
      <c r="A17">
        <v>47314.04</v>
      </c>
      <c r="B17">
        <v>40055.08</v>
      </c>
      <c r="C17">
        <v>33989.06</v>
      </c>
      <c r="D17">
        <v>28111.35</v>
      </c>
      <c r="E17">
        <v>27135.72</v>
      </c>
      <c r="F17">
        <v>31024.78</v>
      </c>
      <c r="G17">
        <v>26548.39</v>
      </c>
      <c r="H17">
        <v>26663.45</v>
      </c>
      <c r="I17">
        <v>15198.01</v>
      </c>
      <c r="J17">
        <v>24400.97</v>
      </c>
      <c r="K17" t="s">
        <v>35</v>
      </c>
    </row>
    <row r="18" spans="1:11" x14ac:dyDescent="0.2">
      <c r="A18">
        <v>281881.53000000003</v>
      </c>
      <c r="B18">
        <v>307774.38</v>
      </c>
      <c r="C18">
        <v>206541.59</v>
      </c>
      <c r="D18">
        <v>231920.76</v>
      </c>
      <c r="E18">
        <v>209821.23</v>
      </c>
      <c r="F18">
        <v>144722.42000000001</v>
      </c>
      <c r="G18">
        <v>242475.33</v>
      </c>
      <c r="H18">
        <v>273774.15000000002</v>
      </c>
      <c r="I18">
        <v>123484.52</v>
      </c>
      <c r="J18">
        <v>247122.45</v>
      </c>
      <c r="K18" t="s">
        <v>36</v>
      </c>
    </row>
    <row r="19" spans="1:11" x14ac:dyDescent="0.2">
      <c r="A19">
        <v>203643.36</v>
      </c>
      <c r="B19">
        <v>307991.88</v>
      </c>
      <c r="C19">
        <v>270393.03999999998</v>
      </c>
      <c r="D19">
        <v>198756.67</v>
      </c>
      <c r="E19">
        <v>239385.55</v>
      </c>
      <c r="F19">
        <v>235729.93</v>
      </c>
      <c r="G19">
        <v>188674.02</v>
      </c>
      <c r="H19">
        <v>236643.81</v>
      </c>
      <c r="I19">
        <v>122410.52</v>
      </c>
      <c r="J19">
        <v>606468.56000000006</v>
      </c>
      <c r="K19" t="s">
        <v>37</v>
      </c>
    </row>
    <row r="20" spans="1:11" x14ac:dyDescent="0.2">
      <c r="A20">
        <v>0</v>
      </c>
      <c r="B20">
        <v>0</v>
      </c>
      <c r="C20">
        <v>4620.7</v>
      </c>
      <c r="D20">
        <v>0</v>
      </c>
      <c r="E20">
        <v>0</v>
      </c>
      <c r="F20">
        <v>0</v>
      </c>
      <c r="G20">
        <v>774.03</v>
      </c>
      <c r="H20">
        <v>1813.61</v>
      </c>
      <c r="I20">
        <v>1588.66</v>
      </c>
      <c r="J20">
        <v>0</v>
      </c>
      <c r="K20" t="s">
        <v>38</v>
      </c>
    </row>
    <row r="21" spans="1:11" x14ac:dyDescent="0.2">
      <c r="A21">
        <v>56224.78</v>
      </c>
      <c r="B21">
        <v>69972.31</v>
      </c>
      <c r="C21">
        <v>66506.06</v>
      </c>
      <c r="D21">
        <v>65607.61</v>
      </c>
      <c r="E21">
        <v>57749.21</v>
      </c>
      <c r="F21">
        <v>64716.25</v>
      </c>
      <c r="G21">
        <v>99163.77</v>
      </c>
      <c r="H21">
        <v>88985.59</v>
      </c>
      <c r="I21">
        <v>34846</v>
      </c>
      <c r="J21">
        <v>73759.929999999993</v>
      </c>
      <c r="K21" t="s">
        <v>39</v>
      </c>
    </row>
    <row r="22" spans="1:11" x14ac:dyDescent="0.2">
      <c r="A22">
        <v>869417.48</v>
      </c>
      <c r="B22">
        <v>1167138.1200000001</v>
      </c>
      <c r="C22">
        <v>1084070.8799999999</v>
      </c>
      <c r="D22">
        <v>1088811.26</v>
      </c>
      <c r="E22">
        <v>1042885.12</v>
      </c>
      <c r="F22">
        <v>1029111.91</v>
      </c>
      <c r="G22">
        <v>1004594.6</v>
      </c>
      <c r="H22">
        <v>1004681.48</v>
      </c>
      <c r="I22">
        <v>563856.47</v>
      </c>
      <c r="J22">
        <v>854065.22</v>
      </c>
      <c r="K22" t="s">
        <v>40</v>
      </c>
    </row>
    <row r="23" spans="1:11" x14ac:dyDescent="0.2">
      <c r="A23">
        <v>112713.17</v>
      </c>
      <c r="B23">
        <v>135245.82999999999</v>
      </c>
      <c r="C23">
        <v>144384.57</v>
      </c>
      <c r="D23">
        <v>142729.78</v>
      </c>
      <c r="E23">
        <v>142967.97</v>
      </c>
      <c r="F23">
        <v>143554.97</v>
      </c>
      <c r="G23">
        <v>146492.63</v>
      </c>
      <c r="H23">
        <v>132233.24</v>
      </c>
      <c r="I23">
        <v>82592.81</v>
      </c>
      <c r="J23">
        <v>155675.5</v>
      </c>
      <c r="K23" t="s">
        <v>41</v>
      </c>
    </row>
    <row r="24" spans="1:11" x14ac:dyDescent="0.2">
      <c r="A24">
        <v>5205538.97</v>
      </c>
      <c r="B24">
        <v>5399957.5899999999</v>
      </c>
      <c r="C24">
        <v>4912191.67</v>
      </c>
      <c r="D24">
        <v>5003323.6399999997</v>
      </c>
      <c r="E24">
        <v>4906400.91</v>
      </c>
      <c r="F24">
        <v>4871598.26</v>
      </c>
      <c r="G24">
        <v>4887037.28</v>
      </c>
      <c r="H24">
        <v>4811590.43</v>
      </c>
      <c r="I24">
        <v>2747976.09</v>
      </c>
      <c r="J24">
        <v>4835420.84</v>
      </c>
      <c r="K24" t="s">
        <v>42</v>
      </c>
    </row>
    <row r="25" spans="1:11" x14ac:dyDescent="0.2">
      <c r="A25">
        <v>50289.87</v>
      </c>
      <c r="B25">
        <v>54993.88</v>
      </c>
      <c r="C25">
        <v>42487.65</v>
      </c>
      <c r="D25">
        <v>43488.22</v>
      </c>
      <c r="E25">
        <v>42595.89</v>
      </c>
      <c r="F25">
        <v>51335.47</v>
      </c>
      <c r="G25">
        <v>54406.31</v>
      </c>
      <c r="H25">
        <v>57862.86</v>
      </c>
      <c r="I25">
        <v>32776.03</v>
      </c>
      <c r="J25">
        <v>50795.77</v>
      </c>
      <c r="K25" t="s">
        <v>43</v>
      </c>
    </row>
    <row r="26" spans="1:11" x14ac:dyDescent="0.2">
      <c r="A26">
        <v>97403.93</v>
      </c>
      <c r="B26">
        <v>117669.25</v>
      </c>
      <c r="C26">
        <v>117669.25</v>
      </c>
      <c r="D26">
        <v>117669.25</v>
      </c>
      <c r="E26">
        <v>117669.25</v>
      </c>
      <c r="F26">
        <v>118266.19</v>
      </c>
      <c r="G26">
        <v>117566.19</v>
      </c>
      <c r="H26">
        <v>117566.19</v>
      </c>
      <c r="I26">
        <v>76635.56</v>
      </c>
      <c r="J26">
        <v>134338.04</v>
      </c>
      <c r="K26" t="s">
        <v>44</v>
      </c>
    </row>
    <row r="27" spans="1:11" x14ac:dyDescent="0.2">
      <c r="A27" s="35">
        <v>4727033.6100000003</v>
      </c>
      <c r="B27" s="35">
        <v>5085483.97</v>
      </c>
      <c r="C27" s="35">
        <v>5404098.5899999999</v>
      </c>
      <c r="D27" s="35">
        <v>4963599.53</v>
      </c>
      <c r="E27" s="35">
        <v>4274644.2</v>
      </c>
      <c r="F27" s="35">
        <v>4885946.76</v>
      </c>
      <c r="G27" s="35">
        <v>5112471.78</v>
      </c>
      <c r="H27" s="35">
        <v>4917726.88</v>
      </c>
      <c r="I27" s="35">
        <v>3100012.45</v>
      </c>
      <c r="J27" s="35">
        <v>5854904.21</v>
      </c>
      <c r="K27" t="s">
        <v>45</v>
      </c>
    </row>
    <row r="28" spans="1:11" x14ac:dyDescent="0.2">
      <c r="A28" s="35">
        <v>1063.5999999999999</v>
      </c>
      <c r="B28" s="35">
        <v>4342.04</v>
      </c>
      <c r="C28" s="35">
        <v>1983.3</v>
      </c>
      <c r="D28" s="35">
        <v>10531.99</v>
      </c>
      <c r="E28" s="35">
        <v>4654.38</v>
      </c>
      <c r="F28" s="35">
        <v>11832.11</v>
      </c>
      <c r="G28" s="35">
        <v>8765.91</v>
      </c>
      <c r="H28" s="35">
        <v>7276.72</v>
      </c>
      <c r="I28" s="35">
        <v>6966.74</v>
      </c>
      <c r="J28" s="35">
        <v>3519.82</v>
      </c>
      <c r="K28" t="s">
        <v>46</v>
      </c>
    </row>
    <row r="29" spans="1:11" x14ac:dyDescent="0.2">
      <c r="A29" s="35">
        <v>933896.86</v>
      </c>
      <c r="B29" s="35">
        <v>1100914.3700000001</v>
      </c>
      <c r="C29" s="35">
        <v>933514.36</v>
      </c>
      <c r="D29" s="35">
        <v>853555.88</v>
      </c>
      <c r="E29" s="35">
        <v>926393.04</v>
      </c>
      <c r="F29" s="35">
        <v>743885.7</v>
      </c>
      <c r="G29" s="35">
        <v>851797.27</v>
      </c>
      <c r="H29" s="35">
        <v>672895.87</v>
      </c>
      <c r="I29" s="35">
        <v>361456.94</v>
      </c>
      <c r="J29" s="35">
        <v>780321.83</v>
      </c>
      <c r="K29" t="s">
        <v>47</v>
      </c>
    </row>
    <row r="30" spans="1:11" x14ac:dyDescent="0.2">
      <c r="A30">
        <v>1937972.24</v>
      </c>
      <c r="B30">
        <v>1961039.79</v>
      </c>
      <c r="C30">
        <v>1525369.95</v>
      </c>
      <c r="D30">
        <v>1609762.26</v>
      </c>
      <c r="E30">
        <v>1656992.1</v>
      </c>
      <c r="F30">
        <v>1655572.45</v>
      </c>
      <c r="G30">
        <v>1520335.43</v>
      </c>
      <c r="H30">
        <v>1637935.18</v>
      </c>
      <c r="I30">
        <v>1046542.28</v>
      </c>
      <c r="J30">
        <v>1595942.04</v>
      </c>
      <c r="K30" t="s">
        <v>76</v>
      </c>
    </row>
    <row r="31" spans="1:11" x14ac:dyDescent="0.2">
      <c r="A31">
        <v>363259.92</v>
      </c>
      <c r="B31">
        <v>381420.6</v>
      </c>
      <c r="C31">
        <v>316946.14</v>
      </c>
      <c r="D31">
        <v>310171.71999999997</v>
      </c>
      <c r="E31">
        <v>331320.43</v>
      </c>
      <c r="F31">
        <v>306162.74</v>
      </c>
      <c r="G31">
        <v>310530.86</v>
      </c>
      <c r="H31">
        <v>315857.90000000002</v>
      </c>
      <c r="I31">
        <v>76318.929999999993</v>
      </c>
      <c r="J31">
        <v>160324.47</v>
      </c>
      <c r="K31" t="s">
        <v>77</v>
      </c>
    </row>
    <row r="32" spans="1:11" x14ac:dyDescent="0.2">
      <c r="A32">
        <v>249867.22</v>
      </c>
      <c r="B32">
        <v>237630.83</v>
      </c>
      <c r="C32">
        <v>181678.42</v>
      </c>
      <c r="D32">
        <v>174870.57</v>
      </c>
      <c r="E32">
        <v>257906.11</v>
      </c>
      <c r="F32">
        <v>282137.42</v>
      </c>
      <c r="G32">
        <v>313259.28999999998</v>
      </c>
      <c r="H32">
        <v>279652.59000000003</v>
      </c>
      <c r="I32">
        <v>688.61</v>
      </c>
      <c r="J32">
        <v>21857.87</v>
      </c>
      <c r="K32" t="s">
        <v>78</v>
      </c>
    </row>
    <row r="33" spans="1:12" x14ac:dyDescent="0.2">
      <c r="A33">
        <v>54465.13</v>
      </c>
      <c r="B33">
        <v>47156.02</v>
      </c>
      <c r="C33">
        <v>30316.85</v>
      </c>
      <c r="D33">
        <v>25263.01</v>
      </c>
      <c r="E33">
        <v>26807.43</v>
      </c>
      <c r="F33">
        <v>33607.56</v>
      </c>
      <c r="G33">
        <v>24238.15</v>
      </c>
      <c r="H33">
        <v>25817.55</v>
      </c>
      <c r="I33">
        <v>15658.19</v>
      </c>
      <c r="J33">
        <v>19998.7</v>
      </c>
      <c r="K33" t="s">
        <v>79</v>
      </c>
    </row>
    <row r="34" spans="1:12" x14ac:dyDescent="0.2">
      <c r="A34" s="35">
        <v>74557.600000000006</v>
      </c>
      <c r="B34" s="35">
        <v>73911.77</v>
      </c>
      <c r="C34" s="35">
        <v>81694.679999999993</v>
      </c>
      <c r="D34" s="35">
        <v>80693.27</v>
      </c>
      <c r="E34" s="35">
        <v>80360.850000000006</v>
      </c>
      <c r="F34" s="35">
        <v>88870.94</v>
      </c>
      <c r="G34" s="35">
        <v>88320.11</v>
      </c>
      <c r="H34" s="35">
        <v>85040.37</v>
      </c>
      <c r="I34" s="35">
        <v>51461.42</v>
      </c>
      <c r="J34" s="35">
        <v>88462.56</v>
      </c>
      <c r="K34" t="s">
        <v>80</v>
      </c>
    </row>
    <row r="35" spans="1:12" x14ac:dyDescent="0.2">
      <c r="A35" s="35">
        <v>4908002.8</v>
      </c>
      <c r="B35" s="35">
        <v>5380816.7199999997</v>
      </c>
      <c r="C35" s="35">
        <v>4963108.93</v>
      </c>
      <c r="D35" s="35">
        <v>4600708.7300000004</v>
      </c>
      <c r="E35" s="35">
        <v>4363694.13</v>
      </c>
      <c r="F35" s="35">
        <v>4620362.9000000004</v>
      </c>
      <c r="G35" s="35">
        <v>4935369.66</v>
      </c>
      <c r="H35" s="35">
        <v>4953790.6500000004</v>
      </c>
      <c r="I35" s="35">
        <v>3131478.49</v>
      </c>
      <c r="J35" s="35">
        <v>4900777.6100000003</v>
      </c>
      <c r="K35" t="s">
        <v>117</v>
      </c>
    </row>
    <row r="36" spans="1:12" x14ac:dyDescent="0.2">
      <c r="A36" s="35">
        <v>75425.73</v>
      </c>
      <c r="B36" s="35">
        <v>77176.94</v>
      </c>
      <c r="C36" s="35">
        <v>74394.97</v>
      </c>
      <c r="D36" s="35">
        <v>74973.73</v>
      </c>
      <c r="E36" s="35">
        <v>81729.279999999999</v>
      </c>
      <c r="F36" s="35">
        <v>83884.44</v>
      </c>
      <c r="G36" s="35">
        <v>85191.21</v>
      </c>
      <c r="H36" s="35">
        <v>85743.22</v>
      </c>
      <c r="I36" s="35">
        <v>51988.36</v>
      </c>
      <c r="J36" s="35">
        <v>76269.91</v>
      </c>
      <c r="K36" t="s">
        <v>118</v>
      </c>
    </row>
    <row r="37" spans="1:12" x14ac:dyDescent="0.2">
      <c r="A37">
        <v>377880.18</v>
      </c>
      <c r="B37">
        <v>403416.95</v>
      </c>
      <c r="C37">
        <v>391713.16</v>
      </c>
      <c r="D37">
        <v>419806.16</v>
      </c>
      <c r="E37">
        <v>479774.03</v>
      </c>
      <c r="F37">
        <v>472400.36</v>
      </c>
      <c r="G37">
        <v>454973.96</v>
      </c>
      <c r="H37">
        <v>440726</v>
      </c>
      <c r="I37">
        <v>304626.34000000003</v>
      </c>
      <c r="J37">
        <v>499416.95</v>
      </c>
      <c r="K37" t="s">
        <v>146</v>
      </c>
      <c r="L37" t="s">
        <v>166</v>
      </c>
    </row>
    <row r="38" spans="1:12" x14ac:dyDescent="0.2">
      <c r="A38">
        <v>342751.09</v>
      </c>
      <c r="B38">
        <v>344183.95</v>
      </c>
      <c r="C38">
        <v>325179.73</v>
      </c>
      <c r="D38">
        <v>329978.55</v>
      </c>
      <c r="E38">
        <v>403453.3</v>
      </c>
      <c r="F38">
        <v>407788.69</v>
      </c>
      <c r="G38">
        <v>372929.87</v>
      </c>
      <c r="H38">
        <v>403736.81</v>
      </c>
      <c r="I38">
        <v>232442.39</v>
      </c>
      <c r="J38">
        <v>429621.63</v>
      </c>
      <c r="K38" t="s">
        <v>147</v>
      </c>
      <c r="L38" t="s">
        <v>166</v>
      </c>
    </row>
    <row r="39" spans="1:12" x14ac:dyDescent="0.2">
      <c r="A39">
        <v>1505.22</v>
      </c>
      <c r="B39">
        <v>7287.94</v>
      </c>
      <c r="C39">
        <v>8345.57</v>
      </c>
      <c r="D39">
        <v>7828.39</v>
      </c>
      <c r="E39">
        <v>7880.93</v>
      </c>
      <c r="F39">
        <v>5622.52</v>
      </c>
      <c r="G39">
        <v>4585.12</v>
      </c>
      <c r="H39">
        <v>4389.21</v>
      </c>
      <c r="I39">
        <v>3620.99</v>
      </c>
      <c r="J39">
        <v>27922.19</v>
      </c>
      <c r="K39" t="s">
        <v>148</v>
      </c>
      <c r="L39" t="s">
        <v>166</v>
      </c>
    </row>
    <row r="40" spans="1:12" x14ac:dyDescent="0.2">
      <c r="A40">
        <v>459313.83</v>
      </c>
      <c r="B40">
        <v>517094.89</v>
      </c>
      <c r="C40">
        <v>474556.01</v>
      </c>
      <c r="D40">
        <v>537112.41</v>
      </c>
      <c r="E40">
        <v>515487.04</v>
      </c>
      <c r="F40">
        <v>522655.31</v>
      </c>
      <c r="G40">
        <v>503864.91</v>
      </c>
      <c r="H40">
        <v>513959.07</v>
      </c>
      <c r="I40">
        <v>256921.94</v>
      </c>
      <c r="J40">
        <v>450024.06</v>
      </c>
      <c r="K40" t="s">
        <v>149</v>
      </c>
      <c r="L40" t="s">
        <v>166</v>
      </c>
    </row>
    <row r="41" spans="1:12" x14ac:dyDescent="0.2">
      <c r="A41">
        <v>119372.58</v>
      </c>
      <c r="B41">
        <v>135367.62</v>
      </c>
      <c r="C41">
        <v>129166.19</v>
      </c>
      <c r="D41">
        <v>148556.73000000001</v>
      </c>
      <c r="E41">
        <v>144106.9</v>
      </c>
      <c r="F41">
        <v>145849.97</v>
      </c>
      <c r="G41">
        <v>144875.48000000001</v>
      </c>
      <c r="H41">
        <v>147673.60999999999</v>
      </c>
      <c r="I41">
        <v>74630.36</v>
      </c>
      <c r="J41">
        <v>120678.39</v>
      </c>
      <c r="K41" t="s">
        <v>150</v>
      </c>
      <c r="L41" t="s">
        <v>166</v>
      </c>
    </row>
    <row r="42" spans="1:12" x14ac:dyDescent="0.2">
      <c r="A42">
        <v>0</v>
      </c>
      <c r="B42">
        <v>0</v>
      </c>
      <c r="C42">
        <v>0</v>
      </c>
      <c r="D42">
        <v>0</v>
      </c>
      <c r="E42">
        <v>4254.3999999999996</v>
      </c>
      <c r="F42">
        <v>4179.18</v>
      </c>
      <c r="G42">
        <v>15733.06</v>
      </c>
      <c r="H42">
        <v>15352.38</v>
      </c>
      <c r="I42">
        <v>0</v>
      </c>
      <c r="J42">
        <v>0</v>
      </c>
      <c r="K42" t="s">
        <v>151</v>
      </c>
      <c r="L42" t="s">
        <v>166</v>
      </c>
    </row>
    <row r="43" spans="1:12" x14ac:dyDescent="0.2">
      <c r="A43">
        <v>138521.54</v>
      </c>
      <c r="B43">
        <v>129183.09</v>
      </c>
      <c r="C43">
        <v>127705.57</v>
      </c>
      <c r="D43">
        <v>96229.98</v>
      </c>
      <c r="E43">
        <v>97456.01</v>
      </c>
      <c r="F43">
        <v>121143.66</v>
      </c>
      <c r="G43">
        <v>122693.94</v>
      </c>
      <c r="H43">
        <v>125320.9</v>
      </c>
      <c r="I43">
        <v>37075.31</v>
      </c>
      <c r="J43">
        <v>78197.759999999995</v>
      </c>
      <c r="K43" t="s">
        <v>152</v>
      </c>
      <c r="L43" t="s">
        <v>166</v>
      </c>
    </row>
    <row r="44" spans="1:12" x14ac:dyDescent="0.2">
      <c r="A44">
        <v>241789.49</v>
      </c>
      <c r="B44">
        <v>266407.40999999997</v>
      </c>
      <c r="C44">
        <v>245742.64</v>
      </c>
      <c r="D44">
        <v>233874.45</v>
      </c>
      <c r="E44">
        <v>290979.95</v>
      </c>
      <c r="F44">
        <v>216095.09</v>
      </c>
      <c r="G44">
        <v>194420.86</v>
      </c>
      <c r="H44">
        <v>187581.1</v>
      </c>
      <c r="I44">
        <v>131867.82</v>
      </c>
      <c r="J44">
        <v>355150.56</v>
      </c>
      <c r="K44" t="s">
        <v>153</v>
      </c>
      <c r="L44" t="s">
        <v>166</v>
      </c>
    </row>
    <row r="45" spans="1:12" x14ac:dyDescent="0.2">
      <c r="A45">
        <v>2582864.4700000002</v>
      </c>
      <c r="B45">
        <v>2372895.19</v>
      </c>
      <c r="C45">
        <v>2107966.41</v>
      </c>
      <c r="D45">
        <v>2232065.52</v>
      </c>
      <c r="E45">
        <v>1984296.48</v>
      </c>
      <c r="F45">
        <v>2014192.44</v>
      </c>
      <c r="G45">
        <v>2019586.71</v>
      </c>
      <c r="H45">
        <v>1903125.98</v>
      </c>
      <c r="I45">
        <v>1162045.17</v>
      </c>
      <c r="J45">
        <v>1841139.25</v>
      </c>
      <c r="K45" t="s">
        <v>154</v>
      </c>
      <c r="L45" t="s">
        <v>166</v>
      </c>
    </row>
    <row r="46" spans="1:12" x14ac:dyDescent="0.2">
      <c r="A46">
        <v>288865.48</v>
      </c>
      <c r="B46">
        <v>361589.65</v>
      </c>
      <c r="C46">
        <v>238227.27</v>
      </c>
      <c r="D46">
        <v>219667.51</v>
      </c>
      <c r="E46">
        <v>220372.05</v>
      </c>
      <c r="F46">
        <v>217708.95</v>
      </c>
      <c r="G46">
        <v>269593.27</v>
      </c>
      <c r="H46">
        <v>289580.76</v>
      </c>
      <c r="I46">
        <v>136091.73000000001</v>
      </c>
      <c r="J46">
        <v>430998.68</v>
      </c>
      <c r="K46" t="s">
        <v>155</v>
      </c>
      <c r="L46" t="s">
        <v>166</v>
      </c>
    </row>
    <row r="47" spans="1:12" x14ac:dyDescent="0.2">
      <c r="A47">
        <v>35652.879999999997</v>
      </c>
      <c r="B47">
        <v>31642.51</v>
      </c>
      <c r="C47">
        <v>43812</v>
      </c>
      <c r="D47">
        <v>25517.31</v>
      </c>
      <c r="E47">
        <v>20577.849999999999</v>
      </c>
      <c r="F47">
        <v>15204.31</v>
      </c>
      <c r="G47">
        <v>15423.28</v>
      </c>
      <c r="H47">
        <v>8234.2199999999993</v>
      </c>
      <c r="I47">
        <v>9743.15</v>
      </c>
      <c r="J47">
        <v>11401.16</v>
      </c>
      <c r="K47" t="s">
        <v>156</v>
      </c>
      <c r="L47" t="s">
        <v>166</v>
      </c>
    </row>
    <row r="48" spans="1:12" x14ac:dyDescent="0.2">
      <c r="A48">
        <v>25507.07</v>
      </c>
      <c r="B48">
        <v>38186.300000000003</v>
      </c>
      <c r="C48">
        <v>51801.61</v>
      </c>
      <c r="D48">
        <v>59481.3</v>
      </c>
      <c r="E48">
        <v>60871.040000000001</v>
      </c>
      <c r="F48">
        <v>29433.119999999999</v>
      </c>
      <c r="G48">
        <v>84249.2</v>
      </c>
      <c r="H48">
        <v>88993.49</v>
      </c>
      <c r="I48">
        <v>2044.19</v>
      </c>
      <c r="J48">
        <v>10827.63</v>
      </c>
      <c r="K48" t="s">
        <v>157</v>
      </c>
      <c r="L48" t="s">
        <v>166</v>
      </c>
    </row>
    <row r="49" spans="1:12" x14ac:dyDescent="0.2">
      <c r="A49">
        <v>80869.429999999993</v>
      </c>
      <c r="B49">
        <v>241567.09</v>
      </c>
      <c r="C49">
        <v>273049.99</v>
      </c>
      <c r="D49">
        <v>254406.45</v>
      </c>
      <c r="E49">
        <v>232543.16</v>
      </c>
      <c r="F49">
        <v>216343.93</v>
      </c>
      <c r="G49">
        <v>209869.09</v>
      </c>
      <c r="H49">
        <v>208524.24</v>
      </c>
      <c r="I49">
        <v>156729.35</v>
      </c>
      <c r="J49">
        <v>136954.39000000001</v>
      </c>
      <c r="K49" t="s">
        <v>158</v>
      </c>
      <c r="L49" t="s">
        <v>166</v>
      </c>
    </row>
    <row r="50" spans="1:12" x14ac:dyDescent="0.2">
      <c r="A50">
        <v>153056.34</v>
      </c>
      <c r="B50">
        <v>173329.91</v>
      </c>
      <c r="C50">
        <v>173212.62</v>
      </c>
      <c r="D50">
        <v>137204.88</v>
      </c>
      <c r="E50">
        <v>139091.84</v>
      </c>
      <c r="F50">
        <v>138236.04999999999</v>
      </c>
      <c r="G50">
        <v>142250.45000000001</v>
      </c>
      <c r="H50">
        <v>130029.63</v>
      </c>
      <c r="I50">
        <v>83378.899999999994</v>
      </c>
      <c r="J50">
        <v>156205.91</v>
      </c>
      <c r="K50" t="s">
        <v>159</v>
      </c>
      <c r="L50" t="s">
        <v>166</v>
      </c>
    </row>
    <row r="51" spans="1:12" x14ac:dyDescent="0.2">
      <c r="A51">
        <v>12960.57</v>
      </c>
      <c r="B51">
        <v>14884.47</v>
      </c>
      <c r="C51">
        <v>11253.11</v>
      </c>
      <c r="D51">
        <v>10502.48</v>
      </c>
      <c r="E51">
        <v>13227.66</v>
      </c>
      <c r="F51">
        <v>15693.88</v>
      </c>
      <c r="G51">
        <v>15001.97</v>
      </c>
      <c r="H51">
        <v>18217.79</v>
      </c>
      <c r="I51">
        <v>3288.35</v>
      </c>
      <c r="J51">
        <v>3636.8</v>
      </c>
      <c r="K51" t="s">
        <v>160</v>
      </c>
      <c r="L51" t="s">
        <v>166</v>
      </c>
    </row>
    <row r="52" spans="1:12" x14ac:dyDescent="0.2">
      <c r="A52">
        <v>2864.73</v>
      </c>
      <c r="B52">
        <v>2756.07</v>
      </c>
      <c r="C52">
        <v>3559.4</v>
      </c>
      <c r="D52">
        <v>8725.74</v>
      </c>
      <c r="E52">
        <v>16179.14</v>
      </c>
      <c r="F52">
        <v>18237.900000000001</v>
      </c>
      <c r="G52">
        <v>7632.52</v>
      </c>
      <c r="H52">
        <v>7073.69</v>
      </c>
      <c r="I52">
        <v>3794.19</v>
      </c>
      <c r="J52">
        <v>4495.99</v>
      </c>
      <c r="K52" t="s">
        <v>161</v>
      </c>
      <c r="L52" t="s">
        <v>166</v>
      </c>
    </row>
    <row r="53" spans="1:12" x14ac:dyDescent="0.2">
      <c r="A53">
        <v>47045.35</v>
      </c>
      <c r="B53">
        <v>39528.15</v>
      </c>
      <c r="C53">
        <v>32808.43</v>
      </c>
      <c r="D53">
        <v>29930.07</v>
      </c>
      <c r="E53">
        <v>34504.1</v>
      </c>
      <c r="F53">
        <v>35774.589999999997</v>
      </c>
      <c r="G53">
        <v>36320.86</v>
      </c>
      <c r="H53">
        <v>34755.21</v>
      </c>
      <c r="I53">
        <v>16116.87</v>
      </c>
      <c r="J53">
        <v>29094.05</v>
      </c>
      <c r="K53" t="s">
        <v>162</v>
      </c>
      <c r="L53" t="s">
        <v>166</v>
      </c>
    </row>
    <row r="54" spans="1:12" x14ac:dyDescent="0.2">
      <c r="A54">
        <v>10593.87</v>
      </c>
      <c r="B54">
        <v>10006.39</v>
      </c>
      <c r="C54">
        <v>10992.3</v>
      </c>
      <c r="D54">
        <v>10146.959999999999</v>
      </c>
      <c r="E54">
        <v>9973.7900000000009</v>
      </c>
      <c r="F54">
        <v>9379.66</v>
      </c>
      <c r="G54">
        <v>9456.08</v>
      </c>
      <c r="H54">
        <v>10166.790000000001</v>
      </c>
      <c r="I54">
        <v>5625.38</v>
      </c>
      <c r="J54">
        <v>15175.9</v>
      </c>
      <c r="K54" t="s">
        <v>163</v>
      </c>
      <c r="L54" t="s">
        <v>166</v>
      </c>
    </row>
    <row r="55" spans="1:12" x14ac:dyDescent="0.2">
      <c r="A55">
        <v>79738.09</v>
      </c>
      <c r="B55">
        <v>86156.84</v>
      </c>
      <c r="C55">
        <v>80333.52</v>
      </c>
      <c r="D55">
        <v>73674.67</v>
      </c>
      <c r="E55">
        <v>75032.740000000005</v>
      </c>
      <c r="F55">
        <v>69689.53</v>
      </c>
      <c r="G55">
        <v>69076.679999999993</v>
      </c>
      <c r="H55">
        <v>75729.59</v>
      </c>
      <c r="I55">
        <v>42725.91</v>
      </c>
      <c r="J55">
        <v>71311.34</v>
      </c>
      <c r="K55" t="s">
        <v>164</v>
      </c>
      <c r="L55" t="s">
        <v>166</v>
      </c>
    </row>
    <row r="56" spans="1:12" x14ac:dyDescent="0.2">
      <c r="A56">
        <v>204386.76</v>
      </c>
      <c r="B56">
        <v>224473.17</v>
      </c>
      <c r="C56">
        <v>182766.14</v>
      </c>
      <c r="D56">
        <v>168614.08</v>
      </c>
      <c r="E56">
        <v>156338.5</v>
      </c>
      <c r="F56">
        <v>195969.12</v>
      </c>
      <c r="G56">
        <v>194499.97</v>
      </c>
      <c r="H56">
        <v>198419.96</v>
      </c>
      <c r="I56">
        <v>85207.75</v>
      </c>
      <c r="J56">
        <v>163168.20000000001</v>
      </c>
      <c r="K56" t="s">
        <v>165</v>
      </c>
      <c r="L56" t="s">
        <v>166</v>
      </c>
    </row>
    <row r="57" spans="1:12" x14ac:dyDescent="0.2">
      <c r="A57">
        <v>209582.21</v>
      </c>
      <c r="B57">
        <v>197397.78</v>
      </c>
      <c r="C57">
        <v>207616</v>
      </c>
      <c r="D57">
        <v>226201.37</v>
      </c>
      <c r="E57">
        <v>244433.3</v>
      </c>
      <c r="F57">
        <v>277787.90000000002</v>
      </c>
      <c r="G57">
        <v>263633.65000000002</v>
      </c>
      <c r="H57">
        <v>266362.13</v>
      </c>
      <c r="I57">
        <v>178818.08</v>
      </c>
      <c r="J57">
        <v>335653.03</v>
      </c>
      <c r="K57" t="s">
        <v>146</v>
      </c>
      <c r="L57" t="s">
        <v>60</v>
      </c>
    </row>
    <row r="58" spans="1:12" x14ac:dyDescent="0.2">
      <c r="A58">
        <v>183706.07</v>
      </c>
      <c r="B58">
        <v>162606.76999999999</v>
      </c>
      <c r="C58">
        <v>172058.47</v>
      </c>
      <c r="D58">
        <v>171273.29</v>
      </c>
      <c r="E58">
        <v>205564.9</v>
      </c>
      <c r="F58">
        <v>240249.74</v>
      </c>
      <c r="G58">
        <v>213017.32</v>
      </c>
      <c r="H58">
        <v>233748.08</v>
      </c>
      <c r="I58">
        <v>137157.76999999999</v>
      </c>
      <c r="J58">
        <v>290073.09999999998</v>
      </c>
      <c r="K58" t="s">
        <v>147</v>
      </c>
      <c r="L58" t="s">
        <v>60</v>
      </c>
    </row>
    <row r="59" spans="1:12" x14ac:dyDescent="0.2">
      <c r="A59">
        <v>604.96</v>
      </c>
      <c r="B59">
        <v>2084.0100000000002</v>
      </c>
      <c r="C59">
        <v>3392.73</v>
      </c>
      <c r="D59">
        <v>4351.0200000000004</v>
      </c>
      <c r="E59">
        <v>4210.7</v>
      </c>
      <c r="F59">
        <v>4144.58</v>
      </c>
      <c r="G59">
        <v>2649.71</v>
      </c>
      <c r="H59">
        <v>3228.83</v>
      </c>
      <c r="I59">
        <v>2690.02</v>
      </c>
      <c r="J59">
        <v>24046.47</v>
      </c>
      <c r="K59" t="s">
        <v>148</v>
      </c>
      <c r="L59" t="s">
        <v>60</v>
      </c>
    </row>
    <row r="60" spans="1:12" x14ac:dyDescent="0.2">
      <c r="A60">
        <v>6544.58</v>
      </c>
      <c r="B60">
        <v>0</v>
      </c>
      <c r="C60">
        <v>0</v>
      </c>
      <c r="D60">
        <v>0</v>
      </c>
      <c r="E60">
        <v>2045.7</v>
      </c>
      <c r="F60">
        <v>1885.66</v>
      </c>
      <c r="G60">
        <v>19.670000000000002</v>
      </c>
      <c r="H60">
        <v>65.28</v>
      </c>
      <c r="I60">
        <v>69.900000000000006</v>
      </c>
      <c r="J60">
        <v>10.220000000000001</v>
      </c>
      <c r="K60" t="s">
        <v>149</v>
      </c>
      <c r="L60" t="s">
        <v>60</v>
      </c>
    </row>
    <row r="61" spans="1:12" x14ac:dyDescent="0.2">
      <c r="A61">
        <v>1879.2</v>
      </c>
      <c r="B61">
        <v>75.239999999999995</v>
      </c>
      <c r="C61">
        <v>530.46</v>
      </c>
      <c r="D61">
        <v>0</v>
      </c>
      <c r="E61">
        <v>1077.47</v>
      </c>
      <c r="F61">
        <v>517.45000000000005</v>
      </c>
      <c r="G61">
        <v>5.53</v>
      </c>
      <c r="H61">
        <v>18.38</v>
      </c>
      <c r="I61">
        <v>19.91</v>
      </c>
      <c r="J61">
        <v>2.93</v>
      </c>
      <c r="K61" t="s">
        <v>150</v>
      </c>
      <c r="L61" t="s">
        <v>60</v>
      </c>
    </row>
    <row r="62" spans="1:12" x14ac:dyDescent="0.2">
      <c r="A62">
        <v>0</v>
      </c>
      <c r="B62">
        <v>0</v>
      </c>
      <c r="C62">
        <v>0</v>
      </c>
      <c r="D62">
        <v>0</v>
      </c>
      <c r="E62">
        <v>0</v>
      </c>
      <c r="F62">
        <v>0</v>
      </c>
      <c r="G62">
        <v>0</v>
      </c>
      <c r="H62">
        <v>0</v>
      </c>
      <c r="I62">
        <v>0</v>
      </c>
      <c r="J62">
        <v>0</v>
      </c>
      <c r="K62" t="s">
        <v>151</v>
      </c>
      <c r="L62" t="s">
        <v>60</v>
      </c>
    </row>
    <row r="63" spans="1:12" x14ac:dyDescent="0.2">
      <c r="A63">
        <v>82199.48</v>
      </c>
      <c r="B63">
        <v>56826.85</v>
      </c>
      <c r="C63">
        <v>63695.49</v>
      </c>
      <c r="D63">
        <v>46281.93</v>
      </c>
      <c r="E63">
        <v>49118.83</v>
      </c>
      <c r="F63">
        <v>59539.16</v>
      </c>
      <c r="G63">
        <v>68231.02</v>
      </c>
      <c r="H63">
        <v>67214.429999999993</v>
      </c>
      <c r="I63">
        <v>8261.49</v>
      </c>
      <c r="J63">
        <v>21387.31</v>
      </c>
      <c r="K63" t="s">
        <v>152</v>
      </c>
      <c r="L63" t="s">
        <v>60</v>
      </c>
    </row>
    <row r="64" spans="1:12" x14ac:dyDescent="0.2">
      <c r="A64">
        <v>23083.75</v>
      </c>
      <c r="B64">
        <v>20058.560000000001</v>
      </c>
      <c r="C64">
        <v>15603.1</v>
      </c>
      <c r="D64">
        <v>15998.07</v>
      </c>
      <c r="E64">
        <v>70297.39</v>
      </c>
      <c r="F64">
        <v>17096.310000000001</v>
      </c>
      <c r="G64">
        <v>22274.01</v>
      </c>
      <c r="H64">
        <v>14033.61</v>
      </c>
      <c r="I64">
        <v>12848.29</v>
      </c>
      <c r="J64">
        <v>22384.12</v>
      </c>
      <c r="K64" t="s">
        <v>153</v>
      </c>
      <c r="L64" t="s">
        <v>60</v>
      </c>
    </row>
    <row r="65" spans="1:12" x14ac:dyDescent="0.2">
      <c r="A65">
        <v>1951260.38</v>
      </c>
      <c r="B65">
        <v>1883190.17</v>
      </c>
      <c r="C65">
        <v>1703255.41</v>
      </c>
      <c r="D65">
        <v>1738956.77</v>
      </c>
      <c r="E65">
        <v>1552252.09</v>
      </c>
      <c r="F65">
        <v>1591440.48</v>
      </c>
      <c r="G65">
        <v>1520924.68</v>
      </c>
      <c r="H65">
        <v>1521875.97</v>
      </c>
      <c r="I65">
        <v>773432.82</v>
      </c>
      <c r="J65">
        <v>1420918.47</v>
      </c>
      <c r="K65" t="s">
        <v>154</v>
      </c>
      <c r="L65" t="s">
        <v>60</v>
      </c>
    </row>
    <row r="66" spans="1:12" x14ac:dyDescent="0.2">
      <c r="A66">
        <v>64600.45</v>
      </c>
      <c r="B66">
        <v>65479.08</v>
      </c>
      <c r="C66">
        <v>51959.53</v>
      </c>
      <c r="D66">
        <v>61745.55</v>
      </c>
      <c r="E66">
        <v>62199.61</v>
      </c>
      <c r="F66">
        <v>61877.09</v>
      </c>
      <c r="G66">
        <v>81675.41</v>
      </c>
      <c r="H66">
        <v>78772.13</v>
      </c>
      <c r="I66">
        <v>3075.06</v>
      </c>
      <c r="J66">
        <v>36180.76</v>
      </c>
      <c r="K66" t="s">
        <v>155</v>
      </c>
      <c r="L66" t="s">
        <v>60</v>
      </c>
    </row>
    <row r="67" spans="1:12" x14ac:dyDescent="0.2">
      <c r="A67">
        <v>0</v>
      </c>
      <c r="B67">
        <v>0</v>
      </c>
      <c r="C67">
        <v>0</v>
      </c>
      <c r="D67">
        <v>0</v>
      </c>
      <c r="E67">
        <v>0</v>
      </c>
      <c r="F67">
        <v>0</v>
      </c>
      <c r="G67">
        <v>0</v>
      </c>
      <c r="H67">
        <v>0</v>
      </c>
      <c r="I67">
        <v>0</v>
      </c>
      <c r="J67">
        <v>0</v>
      </c>
      <c r="K67" t="s">
        <v>156</v>
      </c>
      <c r="L67" t="s">
        <v>60</v>
      </c>
    </row>
    <row r="68" spans="1:12" x14ac:dyDescent="0.2">
      <c r="A68">
        <v>0</v>
      </c>
      <c r="B68">
        <v>0</v>
      </c>
      <c r="C68">
        <v>1959.88</v>
      </c>
      <c r="D68">
        <v>2899.95</v>
      </c>
      <c r="E68">
        <v>1647.57</v>
      </c>
      <c r="F68">
        <v>1096.03</v>
      </c>
      <c r="G68">
        <v>1633.54</v>
      </c>
      <c r="H68">
        <v>2230</v>
      </c>
      <c r="I68">
        <v>0</v>
      </c>
      <c r="J68">
        <v>0</v>
      </c>
      <c r="K68" t="s">
        <v>157</v>
      </c>
      <c r="L68" t="s">
        <v>60</v>
      </c>
    </row>
    <row r="69" spans="1:12" x14ac:dyDescent="0.2">
      <c r="A69">
        <v>0</v>
      </c>
      <c r="B69">
        <v>0</v>
      </c>
      <c r="C69">
        <v>0</v>
      </c>
      <c r="D69">
        <v>0</v>
      </c>
      <c r="E69">
        <v>0</v>
      </c>
      <c r="F69">
        <v>0</v>
      </c>
      <c r="G69">
        <v>0</v>
      </c>
      <c r="H69">
        <v>0</v>
      </c>
      <c r="I69">
        <v>0</v>
      </c>
      <c r="J69">
        <v>0</v>
      </c>
      <c r="K69" t="s">
        <v>158</v>
      </c>
      <c r="L69" t="s">
        <v>60</v>
      </c>
    </row>
    <row r="70" spans="1:12" x14ac:dyDescent="0.2">
      <c r="A70">
        <v>0</v>
      </c>
      <c r="B70">
        <v>0</v>
      </c>
      <c r="C70">
        <v>0</v>
      </c>
      <c r="D70">
        <v>0</v>
      </c>
      <c r="E70">
        <v>0</v>
      </c>
      <c r="F70">
        <v>0</v>
      </c>
      <c r="G70">
        <v>0</v>
      </c>
      <c r="H70">
        <v>0</v>
      </c>
      <c r="I70">
        <v>0</v>
      </c>
      <c r="J70">
        <v>0</v>
      </c>
      <c r="K70" t="s">
        <v>159</v>
      </c>
      <c r="L70" t="s">
        <v>60</v>
      </c>
    </row>
    <row r="71" spans="1:12" x14ac:dyDescent="0.2">
      <c r="A71">
        <v>7921.4</v>
      </c>
      <c r="B71">
        <v>7086</v>
      </c>
      <c r="C71">
        <v>6000.85</v>
      </c>
      <c r="D71">
        <v>5976.29</v>
      </c>
      <c r="E71">
        <v>6856.36</v>
      </c>
      <c r="F71">
        <v>10239.280000000001</v>
      </c>
      <c r="G71">
        <v>7993.97</v>
      </c>
      <c r="H71">
        <v>11878.22</v>
      </c>
      <c r="I71">
        <v>977.6</v>
      </c>
      <c r="J71">
        <v>637.12</v>
      </c>
      <c r="K71" t="s">
        <v>160</v>
      </c>
      <c r="L71" t="s">
        <v>60</v>
      </c>
    </row>
    <row r="72" spans="1:12" x14ac:dyDescent="0.2">
      <c r="A72">
        <v>92.21</v>
      </c>
      <c r="B72">
        <v>0</v>
      </c>
      <c r="C72">
        <v>0</v>
      </c>
      <c r="D72">
        <v>0</v>
      </c>
      <c r="E72">
        <v>286.22000000000003</v>
      </c>
      <c r="F72">
        <v>280.08999999999997</v>
      </c>
      <c r="G72">
        <v>0</v>
      </c>
      <c r="H72">
        <v>0</v>
      </c>
      <c r="I72">
        <v>15.2</v>
      </c>
      <c r="J72">
        <v>0</v>
      </c>
      <c r="K72" t="s">
        <v>161</v>
      </c>
      <c r="L72" t="s">
        <v>60</v>
      </c>
    </row>
    <row r="73" spans="1:12" x14ac:dyDescent="0.2">
      <c r="A73">
        <v>18984.7</v>
      </c>
      <c r="B73">
        <v>9475.11</v>
      </c>
      <c r="C73">
        <v>5885.19</v>
      </c>
      <c r="D73">
        <v>3746.12</v>
      </c>
      <c r="E73">
        <v>8629.0499999999993</v>
      </c>
      <c r="F73">
        <v>8253.0400000000009</v>
      </c>
      <c r="G73">
        <v>8321.9</v>
      </c>
      <c r="H73">
        <v>7386.13</v>
      </c>
      <c r="I73">
        <v>1427.58</v>
      </c>
      <c r="J73">
        <v>1813.83</v>
      </c>
      <c r="K73" t="s">
        <v>162</v>
      </c>
      <c r="L73" t="s">
        <v>60</v>
      </c>
    </row>
    <row r="74" spans="1:12" x14ac:dyDescent="0.2">
      <c r="A74">
        <v>194.2</v>
      </c>
      <c r="B74">
        <v>210.4</v>
      </c>
      <c r="C74">
        <v>160.52000000000001</v>
      </c>
      <c r="D74">
        <v>158.94999999999999</v>
      </c>
      <c r="E74">
        <v>137.72999999999999</v>
      </c>
      <c r="F74">
        <v>222.95</v>
      </c>
      <c r="G74">
        <v>172.62</v>
      </c>
      <c r="H74">
        <v>233.61</v>
      </c>
      <c r="I74">
        <v>0</v>
      </c>
      <c r="J74">
        <v>0</v>
      </c>
      <c r="K74" t="s">
        <v>163</v>
      </c>
      <c r="L74" t="s">
        <v>60</v>
      </c>
    </row>
    <row r="75" spans="1:12" x14ac:dyDescent="0.2">
      <c r="A75">
        <v>493.5</v>
      </c>
      <c r="B75">
        <v>8794.43</v>
      </c>
      <c r="C75">
        <v>350</v>
      </c>
      <c r="D75">
        <v>1323.92</v>
      </c>
      <c r="E75">
        <v>665</v>
      </c>
      <c r="F75">
        <v>97.7</v>
      </c>
      <c r="G75">
        <v>257.5</v>
      </c>
      <c r="H75">
        <v>681.32</v>
      </c>
      <c r="I75">
        <v>0</v>
      </c>
      <c r="J75">
        <v>67.599999999999994</v>
      </c>
      <c r="K75" t="s">
        <v>164</v>
      </c>
      <c r="L75" t="s">
        <v>60</v>
      </c>
    </row>
    <row r="76" spans="1:12" x14ac:dyDescent="0.2">
      <c r="A76">
        <v>87387.49</v>
      </c>
      <c r="B76">
        <v>74965.14</v>
      </c>
      <c r="C76">
        <v>38486.76</v>
      </c>
      <c r="D76">
        <v>31638.400000000001</v>
      </c>
      <c r="E76">
        <v>23320.21</v>
      </c>
      <c r="F76">
        <v>57275.47</v>
      </c>
      <c r="G76">
        <v>64849.97</v>
      </c>
      <c r="H76">
        <v>59823.35</v>
      </c>
      <c r="I76">
        <v>7959.02</v>
      </c>
      <c r="J76">
        <v>15909.57</v>
      </c>
      <c r="K76" t="s">
        <v>165</v>
      </c>
      <c r="L76" t="s">
        <v>60</v>
      </c>
    </row>
    <row r="77" spans="1:12" x14ac:dyDescent="0.2">
      <c r="A77">
        <v>232845.67</v>
      </c>
      <c r="B77">
        <v>232524.85</v>
      </c>
      <c r="C77">
        <v>185993.02</v>
      </c>
      <c r="D77">
        <v>207443.19</v>
      </c>
      <c r="E77">
        <v>241644.48</v>
      </c>
      <c r="F77">
        <v>282443.40999999997</v>
      </c>
      <c r="G77">
        <v>247587.66</v>
      </c>
      <c r="H77">
        <v>261400.27</v>
      </c>
      <c r="I77">
        <v>182171.27</v>
      </c>
      <c r="J77">
        <v>281914.33</v>
      </c>
      <c r="K77" t="s">
        <v>146</v>
      </c>
      <c r="L77" t="s">
        <v>167</v>
      </c>
    </row>
    <row r="78" spans="1:12" x14ac:dyDescent="0.2">
      <c r="A78">
        <v>207504.3</v>
      </c>
      <c r="B78">
        <v>189937.21</v>
      </c>
      <c r="C78">
        <v>154638.04</v>
      </c>
      <c r="D78">
        <v>157267.43</v>
      </c>
      <c r="E78">
        <v>203354.8</v>
      </c>
      <c r="F78">
        <v>238041.73</v>
      </c>
      <c r="G78">
        <v>203087.9</v>
      </c>
      <c r="H78">
        <v>232750.05</v>
      </c>
      <c r="I78">
        <v>140403.12</v>
      </c>
      <c r="J78">
        <v>247346.09</v>
      </c>
      <c r="K78" t="s">
        <v>147</v>
      </c>
      <c r="L78" t="s">
        <v>167</v>
      </c>
    </row>
    <row r="79" spans="1:12" x14ac:dyDescent="0.2">
      <c r="A79">
        <v>816.16</v>
      </c>
      <c r="B79">
        <v>2536.69</v>
      </c>
      <c r="C79">
        <v>3039.37</v>
      </c>
      <c r="D79">
        <v>4279.6899999999996</v>
      </c>
      <c r="E79">
        <v>4249.21</v>
      </c>
      <c r="F79">
        <v>3409.77</v>
      </c>
      <c r="G79">
        <v>2600.54</v>
      </c>
      <c r="H79">
        <v>3430.74</v>
      </c>
      <c r="I79">
        <v>2750.97</v>
      </c>
      <c r="J79">
        <v>19586.59</v>
      </c>
      <c r="K79" t="s">
        <v>148</v>
      </c>
      <c r="L79" t="s">
        <v>167</v>
      </c>
    </row>
    <row r="80" spans="1:12" x14ac:dyDescent="0.2">
      <c r="A80">
        <v>4687.93</v>
      </c>
      <c r="B80">
        <v>0</v>
      </c>
      <c r="C80">
        <v>0</v>
      </c>
      <c r="D80">
        <v>0</v>
      </c>
      <c r="E80">
        <v>2067.06</v>
      </c>
      <c r="F80">
        <v>1544.13</v>
      </c>
      <c r="G80">
        <v>19.3</v>
      </c>
      <c r="H80">
        <v>69.430000000000007</v>
      </c>
      <c r="I80">
        <v>70.8</v>
      </c>
      <c r="J80">
        <v>10.43</v>
      </c>
      <c r="K80" t="s">
        <v>149</v>
      </c>
      <c r="L80" t="s">
        <v>167</v>
      </c>
    </row>
    <row r="81" spans="1:12" x14ac:dyDescent="0.2">
      <c r="A81">
        <v>1346.08</v>
      </c>
      <c r="B81">
        <v>66.650000000000006</v>
      </c>
      <c r="C81">
        <v>464.97</v>
      </c>
      <c r="D81">
        <v>0</v>
      </c>
      <c r="E81">
        <v>1112.1199999999999</v>
      </c>
      <c r="F81">
        <v>423.73</v>
      </c>
      <c r="G81">
        <v>5.43</v>
      </c>
      <c r="H81">
        <v>19.55</v>
      </c>
      <c r="I81">
        <v>20.170000000000002</v>
      </c>
      <c r="J81">
        <v>2.99</v>
      </c>
      <c r="K81" t="s">
        <v>150</v>
      </c>
      <c r="L81" t="s">
        <v>167</v>
      </c>
    </row>
    <row r="82" spans="1:12" x14ac:dyDescent="0.2">
      <c r="A82">
        <v>0</v>
      </c>
      <c r="B82">
        <v>0</v>
      </c>
      <c r="C82">
        <v>0</v>
      </c>
      <c r="D82">
        <v>0</v>
      </c>
      <c r="E82">
        <v>0</v>
      </c>
      <c r="F82">
        <v>0</v>
      </c>
      <c r="G82">
        <v>0</v>
      </c>
      <c r="H82">
        <v>0</v>
      </c>
      <c r="I82">
        <v>0</v>
      </c>
      <c r="J82">
        <v>0</v>
      </c>
      <c r="K82" t="s">
        <v>151</v>
      </c>
      <c r="L82" t="s">
        <v>167</v>
      </c>
    </row>
    <row r="83" spans="1:12" x14ac:dyDescent="0.2">
      <c r="A83">
        <v>88323.03</v>
      </c>
      <c r="B83">
        <v>59892.08</v>
      </c>
      <c r="C83">
        <v>55997.19</v>
      </c>
      <c r="D83">
        <v>41125.78</v>
      </c>
      <c r="E83">
        <v>50520.1</v>
      </c>
      <c r="F83">
        <v>60327.17</v>
      </c>
      <c r="G83">
        <v>66019.78</v>
      </c>
      <c r="H83">
        <v>65087.38</v>
      </c>
      <c r="I83">
        <v>8678.7199999999993</v>
      </c>
      <c r="J83">
        <v>17068.57</v>
      </c>
      <c r="K83" t="s">
        <v>152</v>
      </c>
      <c r="L83" t="s">
        <v>167</v>
      </c>
    </row>
    <row r="84" spans="1:12" x14ac:dyDescent="0.2">
      <c r="A84">
        <v>29622.37</v>
      </c>
      <c r="B84">
        <v>24075.9</v>
      </c>
      <c r="C84">
        <v>13872.41</v>
      </c>
      <c r="D84">
        <v>14867.78</v>
      </c>
      <c r="E84">
        <v>73237.59</v>
      </c>
      <c r="F84">
        <v>15853.91</v>
      </c>
      <c r="G84">
        <v>20610.16</v>
      </c>
      <c r="H84">
        <v>14163.83</v>
      </c>
      <c r="I84">
        <v>13200.94</v>
      </c>
      <c r="J84">
        <v>19446.43</v>
      </c>
      <c r="K84" t="s">
        <v>153</v>
      </c>
      <c r="L84" t="s">
        <v>167</v>
      </c>
    </row>
    <row r="85" spans="1:12" x14ac:dyDescent="0.2">
      <c r="A85">
        <v>1849654.24</v>
      </c>
      <c r="B85">
        <v>1937120.71</v>
      </c>
      <c r="C85">
        <v>1548485.3</v>
      </c>
      <c r="D85">
        <v>1600484.71</v>
      </c>
      <c r="E85">
        <v>1590176.28</v>
      </c>
      <c r="F85">
        <v>1525535.99</v>
      </c>
      <c r="G85">
        <v>1471221.76</v>
      </c>
      <c r="H85">
        <v>1531758.97</v>
      </c>
      <c r="I85">
        <v>778168.49</v>
      </c>
      <c r="J85">
        <v>1172670.02</v>
      </c>
      <c r="K85" t="s">
        <v>154</v>
      </c>
      <c r="L85" t="s">
        <v>167</v>
      </c>
    </row>
    <row r="86" spans="1:12" x14ac:dyDescent="0.2">
      <c r="A86">
        <v>59670.28</v>
      </c>
      <c r="B86">
        <v>71667.759999999995</v>
      </c>
      <c r="C86">
        <v>45519.87</v>
      </c>
      <c r="D86">
        <v>54217.17</v>
      </c>
      <c r="E86">
        <v>64361.15</v>
      </c>
      <c r="F86">
        <v>70414.87</v>
      </c>
      <c r="G86">
        <v>79378.83</v>
      </c>
      <c r="H86">
        <v>74571.600000000006</v>
      </c>
      <c r="I86">
        <v>3082.34</v>
      </c>
      <c r="J86">
        <v>24864.28</v>
      </c>
      <c r="K86" t="s">
        <v>155</v>
      </c>
      <c r="L86" t="s">
        <v>167</v>
      </c>
    </row>
    <row r="87" spans="1:12" x14ac:dyDescent="0.2">
      <c r="A87">
        <v>0</v>
      </c>
      <c r="B87">
        <v>0</v>
      </c>
      <c r="C87">
        <v>0</v>
      </c>
      <c r="D87">
        <v>0</v>
      </c>
      <c r="E87">
        <v>0</v>
      </c>
      <c r="F87">
        <v>0</v>
      </c>
      <c r="G87">
        <v>0</v>
      </c>
      <c r="H87">
        <v>0</v>
      </c>
      <c r="I87">
        <v>0</v>
      </c>
      <c r="J87">
        <v>0</v>
      </c>
      <c r="K87" t="s">
        <v>156</v>
      </c>
      <c r="L87" t="s">
        <v>167</v>
      </c>
    </row>
    <row r="88" spans="1:12" x14ac:dyDescent="0.2">
      <c r="A88">
        <v>0</v>
      </c>
      <c r="B88">
        <v>0</v>
      </c>
      <c r="C88">
        <v>1684.73</v>
      </c>
      <c r="D88">
        <v>2362.21</v>
      </c>
      <c r="E88">
        <v>1553.71</v>
      </c>
      <c r="F88">
        <v>1779.37</v>
      </c>
      <c r="G88">
        <v>1262.3599999999999</v>
      </c>
      <c r="H88">
        <v>1564.62</v>
      </c>
      <c r="I88">
        <v>0</v>
      </c>
      <c r="J88">
        <v>0</v>
      </c>
      <c r="K88" t="s">
        <v>157</v>
      </c>
      <c r="L88" t="s">
        <v>167</v>
      </c>
    </row>
    <row r="89" spans="1:12" x14ac:dyDescent="0.2">
      <c r="A89">
        <v>0</v>
      </c>
      <c r="B89">
        <v>0</v>
      </c>
      <c r="C89">
        <v>0</v>
      </c>
      <c r="D89">
        <v>0</v>
      </c>
      <c r="E89">
        <v>0</v>
      </c>
      <c r="F89">
        <v>0</v>
      </c>
      <c r="G89">
        <v>0</v>
      </c>
      <c r="H89">
        <v>0</v>
      </c>
      <c r="I89">
        <v>0</v>
      </c>
      <c r="J89">
        <v>0</v>
      </c>
      <c r="K89" t="s">
        <v>158</v>
      </c>
      <c r="L89" t="s">
        <v>167</v>
      </c>
    </row>
    <row r="90" spans="1:12" x14ac:dyDescent="0.2">
      <c r="A90">
        <v>0</v>
      </c>
      <c r="B90">
        <v>0</v>
      </c>
      <c r="C90">
        <v>0</v>
      </c>
      <c r="D90">
        <v>0</v>
      </c>
      <c r="E90">
        <v>0</v>
      </c>
      <c r="F90">
        <v>0</v>
      </c>
      <c r="G90">
        <v>0</v>
      </c>
      <c r="H90">
        <v>0</v>
      </c>
      <c r="I90">
        <v>0</v>
      </c>
      <c r="J90">
        <v>0</v>
      </c>
      <c r="K90" t="s">
        <v>159</v>
      </c>
      <c r="L90" t="s">
        <v>167</v>
      </c>
    </row>
    <row r="91" spans="1:12" x14ac:dyDescent="0.2">
      <c r="A91">
        <v>7181.28</v>
      </c>
      <c r="B91">
        <v>6651.96</v>
      </c>
      <c r="C91">
        <v>5267.61</v>
      </c>
      <c r="D91">
        <v>5325.4</v>
      </c>
      <c r="E91">
        <v>7207.43</v>
      </c>
      <c r="F91">
        <v>10067.14</v>
      </c>
      <c r="G91">
        <v>7872.77</v>
      </c>
      <c r="H91">
        <v>11659.52</v>
      </c>
      <c r="I91">
        <v>1025.1099999999999</v>
      </c>
      <c r="J91">
        <v>593.55999999999995</v>
      </c>
      <c r="K91" t="s">
        <v>160</v>
      </c>
      <c r="L91" t="s">
        <v>167</v>
      </c>
    </row>
    <row r="92" spans="1:12" x14ac:dyDescent="0.2">
      <c r="A92">
        <v>66.05</v>
      </c>
      <c r="B92">
        <v>0</v>
      </c>
      <c r="C92">
        <v>0</v>
      </c>
      <c r="D92">
        <v>0</v>
      </c>
      <c r="E92">
        <v>289.20999999999998</v>
      </c>
      <c r="F92">
        <v>229.36</v>
      </c>
      <c r="G92">
        <v>0</v>
      </c>
      <c r="H92">
        <v>0</v>
      </c>
      <c r="I92">
        <v>15.4</v>
      </c>
      <c r="J92">
        <v>0</v>
      </c>
      <c r="K92" t="s">
        <v>161</v>
      </c>
      <c r="L92" t="s">
        <v>167</v>
      </c>
    </row>
    <row r="93" spans="1:12" x14ac:dyDescent="0.2">
      <c r="A93">
        <v>22924.71</v>
      </c>
      <c r="B93">
        <v>10847.35</v>
      </c>
      <c r="C93">
        <v>5210.1499999999996</v>
      </c>
      <c r="D93">
        <v>3315.64</v>
      </c>
      <c r="E93">
        <v>8761.57</v>
      </c>
      <c r="F93">
        <v>8814.85</v>
      </c>
      <c r="G93">
        <v>7885.96</v>
      </c>
      <c r="H93">
        <v>7022.7</v>
      </c>
      <c r="I93">
        <v>1381.91</v>
      </c>
      <c r="J93">
        <v>1538.63</v>
      </c>
      <c r="K93" t="s">
        <v>162</v>
      </c>
      <c r="L93" t="s">
        <v>167</v>
      </c>
    </row>
    <row r="94" spans="1:12" x14ac:dyDescent="0.2">
      <c r="A94">
        <v>139.11000000000001</v>
      </c>
      <c r="B94">
        <v>186.38</v>
      </c>
      <c r="C94">
        <v>140.69999999999999</v>
      </c>
      <c r="D94">
        <v>140.28</v>
      </c>
      <c r="E94">
        <v>145.38999999999999</v>
      </c>
      <c r="F94">
        <v>219.71</v>
      </c>
      <c r="G94">
        <v>170.29</v>
      </c>
      <c r="H94">
        <v>230.54</v>
      </c>
      <c r="I94">
        <v>0</v>
      </c>
      <c r="J94">
        <v>0</v>
      </c>
      <c r="K94" t="s">
        <v>163</v>
      </c>
      <c r="L94" t="s">
        <v>167</v>
      </c>
    </row>
    <row r="95" spans="1:12" x14ac:dyDescent="0.2">
      <c r="A95">
        <v>492.72</v>
      </c>
      <c r="B95">
        <v>7790.61</v>
      </c>
      <c r="C95">
        <v>306.79000000000002</v>
      </c>
      <c r="D95">
        <v>1168.4100000000001</v>
      </c>
      <c r="E95">
        <v>701.97</v>
      </c>
      <c r="F95">
        <v>96.28</v>
      </c>
      <c r="G95">
        <v>251.6</v>
      </c>
      <c r="H95">
        <v>671.8</v>
      </c>
      <c r="I95">
        <v>0</v>
      </c>
      <c r="J95">
        <v>47.37</v>
      </c>
      <c r="K95" t="s">
        <v>164</v>
      </c>
      <c r="L95" t="s">
        <v>167</v>
      </c>
    </row>
    <row r="96" spans="1:12" x14ac:dyDescent="0.2">
      <c r="A96">
        <v>100290.58</v>
      </c>
      <c r="B96">
        <v>83949.08</v>
      </c>
      <c r="C96">
        <v>33691.19</v>
      </c>
      <c r="D96">
        <v>28069.88</v>
      </c>
      <c r="E96">
        <v>23644</v>
      </c>
      <c r="F96">
        <v>58278.75</v>
      </c>
      <c r="G96">
        <v>60389.38</v>
      </c>
      <c r="H96">
        <v>54862.21</v>
      </c>
      <c r="I96">
        <v>8238.76</v>
      </c>
      <c r="J96">
        <v>13033.77</v>
      </c>
      <c r="K96" t="s">
        <v>165</v>
      </c>
      <c r="L96" t="s">
        <v>167</v>
      </c>
    </row>
    <row r="97" spans="1:12" x14ac:dyDescent="0.2">
      <c r="A97">
        <v>62511</v>
      </c>
      <c r="B97">
        <v>64162.54</v>
      </c>
      <c r="C97">
        <v>74051.399999999994</v>
      </c>
      <c r="D97">
        <v>75057</v>
      </c>
      <c r="E97">
        <v>72148.36</v>
      </c>
      <c r="F97">
        <v>80475.3</v>
      </c>
      <c r="G97">
        <v>80739.89</v>
      </c>
      <c r="H97">
        <v>78772.11</v>
      </c>
      <c r="I97">
        <v>45153.93</v>
      </c>
      <c r="J97">
        <v>73676</v>
      </c>
      <c r="K97" t="s">
        <v>173</v>
      </c>
    </row>
    <row r="98" spans="1:12" x14ac:dyDescent="0.2">
      <c r="A98">
        <v>62511</v>
      </c>
      <c r="B98">
        <v>64162.54</v>
      </c>
      <c r="C98">
        <v>74051.399999999994</v>
      </c>
      <c r="D98">
        <v>75057</v>
      </c>
      <c r="E98">
        <v>72148.36</v>
      </c>
      <c r="F98">
        <v>80475.3</v>
      </c>
      <c r="G98">
        <v>80739.89</v>
      </c>
      <c r="H98">
        <v>78772.11</v>
      </c>
      <c r="I98">
        <v>45153.93</v>
      </c>
      <c r="J98">
        <v>73676</v>
      </c>
      <c r="K98" t="s">
        <v>174</v>
      </c>
    </row>
    <row r="99" spans="1:12" x14ac:dyDescent="0.2">
      <c r="A99">
        <v>19636.77</v>
      </c>
      <c r="B99">
        <v>24833.64</v>
      </c>
      <c r="C99">
        <v>24484.639999999999</v>
      </c>
      <c r="D99">
        <v>26638.98</v>
      </c>
      <c r="E99">
        <v>32456.91</v>
      </c>
      <c r="F99">
        <v>26713.72</v>
      </c>
      <c r="G99">
        <v>30820.400000000001</v>
      </c>
      <c r="H99">
        <v>30865.08</v>
      </c>
      <c r="I99">
        <v>22700.240000000002</v>
      </c>
      <c r="J99">
        <v>35207.82</v>
      </c>
      <c r="K99" t="s">
        <v>86</v>
      </c>
    </row>
    <row r="100" spans="1:12" x14ac:dyDescent="0.2">
      <c r="A100">
        <v>173139.98</v>
      </c>
      <c r="B100">
        <v>977548.46</v>
      </c>
      <c r="C100">
        <v>103116.71</v>
      </c>
      <c r="D100">
        <v>184328.77</v>
      </c>
      <c r="E100">
        <v>151993.29999999999</v>
      </c>
      <c r="F100">
        <v>118070.42</v>
      </c>
      <c r="G100">
        <v>132981.35999999999</v>
      </c>
      <c r="H100">
        <v>112858.15</v>
      </c>
      <c r="I100">
        <v>54562.51</v>
      </c>
      <c r="J100">
        <v>276362.39</v>
      </c>
      <c r="K100" t="s">
        <v>87</v>
      </c>
    </row>
    <row r="101" spans="1:12" x14ac:dyDescent="0.2">
      <c r="A101">
        <v>1241623.43</v>
      </c>
      <c r="B101">
        <v>1751384.91</v>
      </c>
      <c r="C101">
        <v>1022366.64</v>
      </c>
      <c r="D101">
        <v>1095062.74</v>
      </c>
      <c r="E101">
        <v>1062724.8700000001</v>
      </c>
      <c r="F101">
        <v>1244437.6000000001</v>
      </c>
      <c r="G101">
        <v>1329398.76</v>
      </c>
      <c r="H101">
        <v>1403790.53</v>
      </c>
      <c r="I101">
        <v>804077.92</v>
      </c>
      <c r="J101">
        <v>1326491.72</v>
      </c>
      <c r="K101" t="s">
        <v>88</v>
      </c>
    </row>
    <row r="102" spans="1:12" x14ac:dyDescent="0.2">
      <c r="A102">
        <v>9723.35</v>
      </c>
      <c r="B102">
        <v>11053.04</v>
      </c>
      <c r="C102">
        <v>11624.88</v>
      </c>
      <c r="D102">
        <v>13196.54</v>
      </c>
      <c r="E102">
        <v>15564.27</v>
      </c>
      <c r="F102">
        <v>11781.38</v>
      </c>
      <c r="G102">
        <v>15953.7</v>
      </c>
      <c r="H102">
        <v>17248.96</v>
      </c>
      <c r="I102">
        <v>11780.49</v>
      </c>
      <c r="J102">
        <v>20497.39</v>
      </c>
      <c r="K102" t="s">
        <v>86</v>
      </c>
      <c r="L102" t="s">
        <v>116</v>
      </c>
    </row>
    <row r="103" spans="1:12" x14ac:dyDescent="0.2">
      <c r="A103">
        <v>8903.8799999999992</v>
      </c>
      <c r="B103">
        <v>737982.98</v>
      </c>
      <c r="C103">
        <v>10084.299999999999</v>
      </c>
      <c r="D103">
        <v>75936.509999999995</v>
      </c>
      <c r="E103">
        <v>57342.2</v>
      </c>
      <c r="F103">
        <v>7184.4</v>
      </c>
      <c r="G103">
        <v>4834.0200000000004</v>
      </c>
      <c r="H103">
        <v>19469.099999999999</v>
      </c>
      <c r="I103">
        <v>4264.0200000000004</v>
      </c>
      <c r="J103">
        <v>15994.32</v>
      </c>
      <c r="K103" t="s">
        <v>87</v>
      </c>
      <c r="L103" t="s">
        <v>116</v>
      </c>
    </row>
    <row r="104" spans="1:12" x14ac:dyDescent="0.2">
      <c r="A104">
        <v>660087.97</v>
      </c>
      <c r="B104">
        <v>736857.05</v>
      </c>
      <c r="C104">
        <v>90652.02</v>
      </c>
      <c r="D104">
        <v>110470.05</v>
      </c>
      <c r="E104">
        <v>71585.78</v>
      </c>
      <c r="F104">
        <v>38712.160000000003</v>
      </c>
      <c r="G104">
        <v>281400.76</v>
      </c>
      <c r="H104">
        <v>335686.33</v>
      </c>
      <c r="I104">
        <v>12253.25</v>
      </c>
      <c r="J104">
        <v>28837.33</v>
      </c>
      <c r="K104" t="s">
        <v>88</v>
      </c>
      <c r="L104" t="s">
        <v>116</v>
      </c>
    </row>
    <row r="105" spans="1:12" x14ac:dyDescent="0.2">
      <c r="A105">
        <v>11013.12</v>
      </c>
      <c r="B105">
        <v>13320.25</v>
      </c>
      <c r="C105">
        <v>10351.530000000001</v>
      </c>
      <c r="D105">
        <v>12072.73</v>
      </c>
      <c r="E105">
        <v>15403.38</v>
      </c>
      <c r="F105">
        <v>13432.65</v>
      </c>
      <c r="G105">
        <v>15049.6</v>
      </c>
      <c r="H105">
        <v>16971.29</v>
      </c>
      <c r="I105">
        <v>12112.41</v>
      </c>
      <c r="J105">
        <v>17793.36</v>
      </c>
      <c r="K105" t="s">
        <v>86</v>
      </c>
      <c r="L105" t="s">
        <v>167</v>
      </c>
    </row>
    <row r="106" spans="1:12" x14ac:dyDescent="0.2">
      <c r="A106">
        <v>11835.62</v>
      </c>
      <c r="B106">
        <v>1028331.92</v>
      </c>
      <c r="C106">
        <v>8806.92</v>
      </c>
      <c r="D106">
        <v>66796.740000000005</v>
      </c>
      <c r="E106">
        <v>60530.05</v>
      </c>
      <c r="F106">
        <v>5912.93</v>
      </c>
      <c r="G106">
        <v>4472.3500000000004</v>
      </c>
      <c r="H106">
        <v>20278.830000000002</v>
      </c>
      <c r="I106">
        <v>4242.37</v>
      </c>
      <c r="J106">
        <v>14296.34</v>
      </c>
      <c r="K106" t="s">
        <v>87</v>
      </c>
      <c r="L106" t="s">
        <v>167</v>
      </c>
    </row>
    <row r="107" spans="1:12" x14ac:dyDescent="0.2">
      <c r="A107">
        <v>889475.75</v>
      </c>
      <c r="B107">
        <v>1014462.79</v>
      </c>
      <c r="C107">
        <v>79483.31</v>
      </c>
      <c r="D107">
        <v>97453.759999999995</v>
      </c>
      <c r="E107">
        <v>74134.61</v>
      </c>
      <c r="F107">
        <v>44137.48</v>
      </c>
      <c r="G107">
        <v>253232.7</v>
      </c>
      <c r="H107">
        <v>289807.19</v>
      </c>
      <c r="I107">
        <v>12498.19</v>
      </c>
      <c r="J107">
        <v>25005.01</v>
      </c>
      <c r="K107" t="s">
        <v>88</v>
      </c>
      <c r="L107" t="s">
        <v>167</v>
      </c>
    </row>
    <row r="108" spans="1:12" x14ac:dyDescent="0.2">
      <c r="A108">
        <v>10769.19</v>
      </c>
      <c r="B108">
        <v>11804.67</v>
      </c>
      <c r="C108">
        <v>8543.76</v>
      </c>
      <c r="D108">
        <v>9441.8700000000008</v>
      </c>
      <c r="E108">
        <v>10578.95</v>
      </c>
      <c r="F108">
        <v>11310.94</v>
      </c>
      <c r="G108">
        <v>6779.21</v>
      </c>
      <c r="H108">
        <v>7330</v>
      </c>
      <c r="I108">
        <v>5760.04</v>
      </c>
      <c r="J108">
        <v>4959.76</v>
      </c>
      <c r="K108" t="s">
        <v>102</v>
      </c>
    </row>
    <row r="109" spans="1:12" x14ac:dyDescent="0.2">
      <c r="A109">
        <v>87387.49</v>
      </c>
      <c r="B109">
        <v>74965.14</v>
      </c>
      <c r="C109">
        <v>38486.76</v>
      </c>
      <c r="D109">
        <v>31638.400000000001</v>
      </c>
      <c r="E109">
        <v>23320.21</v>
      </c>
      <c r="F109">
        <v>57275.47</v>
      </c>
      <c r="G109">
        <v>64849.97</v>
      </c>
      <c r="H109">
        <v>59823.35</v>
      </c>
      <c r="I109">
        <v>7959.02</v>
      </c>
      <c r="J109">
        <v>15909.57</v>
      </c>
      <c r="K109" t="s">
        <v>103</v>
      </c>
    </row>
    <row r="110" spans="1:12" x14ac:dyDescent="0.2">
      <c r="A110">
        <v>6500.75</v>
      </c>
      <c r="B110">
        <v>24428.87</v>
      </c>
      <c r="C110">
        <v>24723.97</v>
      </c>
      <c r="D110">
        <v>27210.36</v>
      </c>
      <c r="E110">
        <v>28397.3</v>
      </c>
      <c r="F110">
        <v>30363.24</v>
      </c>
      <c r="G110">
        <v>44531.23</v>
      </c>
      <c r="H110">
        <v>61020.62</v>
      </c>
      <c r="I110">
        <v>25431.02</v>
      </c>
      <c r="J110">
        <v>57909.56</v>
      </c>
      <c r="K110" t="s">
        <v>104</v>
      </c>
    </row>
    <row r="111" spans="1:12" x14ac:dyDescent="0.2">
      <c r="A111">
        <v>39847.199999999997</v>
      </c>
      <c r="B111">
        <v>56539.75</v>
      </c>
      <c r="C111">
        <v>51435.82</v>
      </c>
      <c r="D111">
        <v>49898.59</v>
      </c>
      <c r="E111">
        <v>49416.18</v>
      </c>
      <c r="F111">
        <v>48776.34</v>
      </c>
      <c r="G111">
        <v>31308.16</v>
      </c>
      <c r="H111">
        <v>31304.11</v>
      </c>
      <c r="I111">
        <v>28771.01</v>
      </c>
      <c r="J111">
        <v>52612.65</v>
      </c>
      <c r="K111" t="s">
        <v>105</v>
      </c>
    </row>
    <row r="112" spans="1:12" x14ac:dyDescent="0.2">
      <c r="A112">
        <v>59882.13</v>
      </c>
      <c r="B112">
        <v>56734.74</v>
      </c>
      <c r="C112">
        <v>59575.83</v>
      </c>
      <c r="D112">
        <v>50424.86</v>
      </c>
      <c r="E112">
        <v>44625.86</v>
      </c>
      <c r="F112">
        <v>48243.13</v>
      </c>
      <c r="G112">
        <v>47031.4</v>
      </c>
      <c r="H112">
        <v>38941.879999999997</v>
      </c>
      <c r="I112">
        <v>17286.66</v>
      </c>
      <c r="J112">
        <v>31776.66</v>
      </c>
      <c r="K112" t="s">
        <v>106</v>
      </c>
    </row>
    <row r="113" spans="1:12" x14ac:dyDescent="0.2">
      <c r="A113">
        <v>7785.75</v>
      </c>
      <c r="B113">
        <v>26431.96</v>
      </c>
      <c r="C113">
        <v>3343</v>
      </c>
      <c r="D113">
        <v>6954.6</v>
      </c>
      <c r="E113">
        <v>6704.5</v>
      </c>
      <c r="F113">
        <v>1213.18</v>
      </c>
      <c r="G113">
        <v>4356.63</v>
      </c>
      <c r="H113">
        <v>25351.47</v>
      </c>
      <c r="I113">
        <v>4003.99</v>
      </c>
      <c r="J113">
        <v>2966.61</v>
      </c>
      <c r="K113" t="s">
        <v>107</v>
      </c>
    </row>
    <row r="114" spans="1:12" x14ac:dyDescent="0.2">
      <c r="A114">
        <v>8903.8799999999992</v>
      </c>
      <c r="B114">
        <v>737982.98</v>
      </c>
      <c r="C114">
        <v>10084.299999999999</v>
      </c>
      <c r="D114">
        <v>75936.509999999995</v>
      </c>
      <c r="E114">
        <v>57342.2</v>
      </c>
      <c r="F114">
        <v>7184.4</v>
      </c>
      <c r="G114">
        <v>4834.0200000000004</v>
      </c>
      <c r="H114">
        <v>19469.099999999999</v>
      </c>
      <c r="I114">
        <v>4264.0200000000004</v>
      </c>
      <c r="J114">
        <v>15994.32</v>
      </c>
      <c r="K114" t="s">
        <v>108</v>
      </c>
    </row>
    <row r="115" spans="1:12" x14ac:dyDescent="0.2">
      <c r="A115">
        <v>13976.25</v>
      </c>
      <c r="B115">
        <v>6239.25</v>
      </c>
      <c r="C115">
        <v>246.17</v>
      </c>
      <c r="D115">
        <v>12454.44</v>
      </c>
      <c r="E115">
        <v>14682.6</v>
      </c>
      <c r="F115">
        <v>311.01</v>
      </c>
      <c r="G115">
        <v>15411.92</v>
      </c>
      <c r="H115">
        <v>1750.53</v>
      </c>
      <c r="I115">
        <v>163.56</v>
      </c>
      <c r="J115">
        <v>120075.6</v>
      </c>
      <c r="K115" t="s">
        <v>109</v>
      </c>
    </row>
    <row r="116" spans="1:12" x14ac:dyDescent="0.2">
      <c r="A116">
        <v>21236.62</v>
      </c>
      <c r="B116">
        <v>63615.73</v>
      </c>
      <c r="C116">
        <v>47993.1</v>
      </c>
      <c r="D116">
        <v>52114.13</v>
      </c>
      <c r="E116">
        <v>44473.18</v>
      </c>
      <c r="F116">
        <v>9543.5499999999993</v>
      </c>
      <c r="G116">
        <v>9899.75</v>
      </c>
      <c r="H116">
        <v>10186.73</v>
      </c>
      <c r="I116">
        <v>103.93</v>
      </c>
      <c r="J116">
        <v>34902.99</v>
      </c>
      <c r="K116" t="s">
        <v>110</v>
      </c>
    </row>
    <row r="117" spans="1:12" x14ac:dyDescent="0.2">
      <c r="A117">
        <v>121237.48</v>
      </c>
      <c r="B117">
        <v>143278.54</v>
      </c>
      <c r="C117">
        <v>41450.14</v>
      </c>
      <c r="D117">
        <v>36869.089999999997</v>
      </c>
      <c r="E117">
        <v>28790.82</v>
      </c>
      <c r="F117">
        <v>99818.28</v>
      </c>
      <c r="G117">
        <v>98479.039999999994</v>
      </c>
      <c r="H117">
        <v>56100.32</v>
      </c>
      <c r="I117">
        <v>46027.01</v>
      </c>
      <c r="J117">
        <v>102422.87</v>
      </c>
      <c r="K117" t="s">
        <v>111</v>
      </c>
    </row>
    <row r="118" spans="1:12" x14ac:dyDescent="0.2">
      <c r="A118">
        <v>27429.16</v>
      </c>
      <c r="B118">
        <v>31945.41</v>
      </c>
      <c r="C118">
        <v>17600.830000000002</v>
      </c>
      <c r="D118">
        <v>22731.62</v>
      </c>
      <c r="E118">
        <v>25862.18</v>
      </c>
      <c r="F118">
        <v>30086.58</v>
      </c>
      <c r="G118">
        <v>22956.75</v>
      </c>
      <c r="H118">
        <v>27273.32</v>
      </c>
      <c r="I118">
        <v>9664.19</v>
      </c>
      <c r="J118">
        <v>12157.46</v>
      </c>
      <c r="K118" t="s">
        <v>112</v>
      </c>
    </row>
    <row r="119" spans="1:12" x14ac:dyDescent="0.2">
      <c r="A119">
        <v>660087.97</v>
      </c>
      <c r="B119">
        <v>736857.05</v>
      </c>
      <c r="C119">
        <v>90652.02</v>
      </c>
      <c r="D119">
        <v>110470.05</v>
      </c>
      <c r="E119">
        <v>71585.78</v>
      </c>
      <c r="F119">
        <v>38712.160000000003</v>
      </c>
      <c r="G119">
        <v>281400.76</v>
      </c>
      <c r="H119">
        <v>335686.33</v>
      </c>
      <c r="I119">
        <v>12253.25</v>
      </c>
      <c r="J119">
        <v>28837.33</v>
      </c>
      <c r="K119" t="s">
        <v>113</v>
      </c>
    </row>
    <row r="120" spans="1:12" x14ac:dyDescent="0.2">
      <c r="A120">
        <v>39138.67</v>
      </c>
      <c r="B120">
        <v>249553.24</v>
      </c>
      <c r="C120">
        <v>267551.3</v>
      </c>
      <c r="D120">
        <v>292029.21999999997</v>
      </c>
      <c r="E120">
        <v>306783.90000000002</v>
      </c>
      <c r="F120">
        <v>407005.79</v>
      </c>
      <c r="G120">
        <v>372304.57</v>
      </c>
      <c r="H120">
        <v>435930.25</v>
      </c>
      <c r="I120">
        <v>377250.22</v>
      </c>
      <c r="J120">
        <v>586826.36</v>
      </c>
      <c r="K120" t="s">
        <v>114</v>
      </c>
    </row>
    <row r="121" spans="1:12" x14ac:dyDescent="0.2">
      <c r="A121">
        <v>233888.21</v>
      </c>
      <c r="B121">
        <v>464404.33</v>
      </c>
      <c r="C121">
        <v>463292.58</v>
      </c>
      <c r="D121">
        <v>467798.67</v>
      </c>
      <c r="E121">
        <v>473666.12</v>
      </c>
      <c r="F121">
        <v>479885.2</v>
      </c>
      <c r="G121">
        <v>373420.99</v>
      </c>
      <c r="H121">
        <v>388132.95</v>
      </c>
      <c r="I121">
        <v>272080.15999999997</v>
      </c>
      <c r="J121">
        <v>506745.46</v>
      </c>
      <c r="K121" t="s">
        <v>115</v>
      </c>
    </row>
    <row r="122" spans="1:12" x14ac:dyDescent="0.2">
      <c r="A122">
        <v>281079.42</v>
      </c>
      <c r="B122">
        <v>268624.88</v>
      </c>
      <c r="C122">
        <v>183269.91</v>
      </c>
      <c r="D122">
        <v>202033.18</v>
      </c>
      <c r="E122">
        <v>184826.89</v>
      </c>
      <c r="F122">
        <v>288747.87</v>
      </c>
      <c r="G122">
        <v>279315.69</v>
      </c>
      <c r="H122">
        <v>216767.68</v>
      </c>
      <c r="I122">
        <v>132830.1</v>
      </c>
      <c r="J122">
        <v>191925.11</v>
      </c>
      <c r="K122" t="s">
        <v>256</v>
      </c>
    </row>
    <row r="123" spans="1:12" x14ac:dyDescent="0.2">
      <c r="A123">
        <v>11095</v>
      </c>
      <c r="B123">
        <v>11847</v>
      </c>
      <c r="C123">
        <v>11847</v>
      </c>
      <c r="D123">
        <v>11846</v>
      </c>
      <c r="E123">
        <v>11846</v>
      </c>
      <c r="F123">
        <v>11732</v>
      </c>
      <c r="G123">
        <v>11732</v>
      </c>
      <c r="H123">
        <v>11598</v>
      </c>
      <c r="I123">
        <v>6201</v>
      </c>
      <c r="J123">
        <v>8656</v>
      </c>
      <c r="K123">
        <v>9188</v>
      </c>
      <c r="L123" t="s">
        <v>257</v>
      </c>
    </row>
    <row r="124" spans="1:12" x14ac:dyDescent="0.2">
      <c r="A124">
        <v>1043124.07</v>
      </c>
      <c r="B124">
        <v>923585.53</v>
      </c>
      <c r="C124">
        <v>864720.44</v>
      </c>
      <c r="D124">
        <v>964945.93</v>
      </c>
      <c r="E124">
        <v>980849.7</v>
      </c>
      <c r="F124">
        <v>921759.85</v>
      </c>
      <c r="G124">
        <v>949202.4</v>
      </c>
      <c r="H124">
        <v>805907.08</v>
      </c>
      <c r="I124">
        <v>692444.37</v>
      </c>
      <c r="J124">
        <v>729244.65</v>
      </c>
      <c r="K124" t="s">
        <v>26</v>
      </c>
    </row>
    <row r="125" spans="1:12" x14ac:dyDescent="0.2">
      <c r="A125">
        <v>2638534.58</v>
      </c>
      <c r="B125">
        <v>2488249.54</v>
      </c>
      <c r="C125">
        <v>2270954.39</v>
      </c>
      <c r="D125">
        <v>2310551.63</v>
      </c>
      <c r="E125">
        <v>2232742.13</v>
      </c>
      <c r="F125">
        <v>2332002.9300000002</v>
      </c>
      <c r="G125">
        <v>2255660.5</v>
      </c>
      <c r="H125">
        <v>2267551.4700000002</v>
      </c>
      <c r="I125">
        <v>1126752.74</v>
      </c>
      <c r="J125">
        <v>2169084.5299999998</v>
      </c>
      <c r="K125" t="s">
        <v>32</v>
      </c>
    </row>
    <row r="126" spans="1:12" x14ac:dyDescent="0.2">
      <c r="A126">
        <v>485524.89</v>
      </c>
      <c r="B126">
        <v>615766.26</v>
      </c>
      <c r="C126">
        <v>481555.33</v>
      </c>
      <c r="D126">
        <v>430677.43</v>
      </c>
      <c r="E126">
        <v>449206.78</v>
      </c>
      <c r="F126">
        <v>380452.35</v>
      </c>
      <c r="G126">
        <v>431923.38</v>
      </c>
      <c r="H126">
        <v>512231.57</v>
      </c>
      <c r="I126">
        <v>247483.7</v>
      </c>
      <c r="J126">
        <v>853591.01</v>
      </c>
      <c r="K126" t="s">
        <v>36</v>
      </c>
    </row>
    <row r="127" spans="1:12" x14ac:dyDescent="0.2">
      <c r="A127">
        <v>1038355.43</v>
      </c>
      <c r="B127">
        <v>1372356.26</v>
      </c>
      <c r="C127">
        <v>1294961.51</v>
      </c>
      <c r="D127">
        <v>1297148.6499999999</v>
      </c>
      <c r="E127">
        <v>1243602.3</v>
      </c>
      <c r="F127">
        <v>1237383.1299999999</v>
      </c>
      <c r="G127">
        <v>1250251</v>
      </c>
      <c r="H127">
        <v>1225900.31</v>
      </c>
      <c r="I127">
        <v>681295.28</v>
      </c>
      <c r="J127">
        <v>1083500.6499999999</v>
      </c>
      <c r="K127" t="s">
        <v>39</v>
      </c>
    </row>
    <row r="128" spans="1:12" x14ac:dyDescent="0.2">
      <c r="A128">
        <v>5205538.97</v>
      </c>
      <c r="B128">
        <v>5399957.5899999999</v>
      </c>
      <c r="C128">
        <v>4912191.67</v>
      </c>
      <c r="D128">
        <v>5003323.6399999997</v>
      </c>
      <c r="E128">
        <v>4906400.91</v>
      </c>
      <c r="F128">
        <v>4871598.26</v>
      </c>
      <c r="G128">
        <v>4887037.28</v>
      </c>
      <c r="H128">
        <v>4811590.43</v>
      </c>
      <c r="I128">
        <v>2747976.09</v>
      </c>
      <c r="J128">
        <v>4835420.84</v>
      </c>
      <c r="K128" t="s">
        <v>42</v>
      </c>
    </row>
    <row r="129" spans="1:11" x14ac:dyDescent="0.2">
      <c r="A129" s="35">
        <v>250748.34</v>
      </c>
      <c r="B129" s="35">
        <v>241233.9</v>
      </c>
      <c r="C129" s="35">
        <v>270706.98</v>
      </c>
      <c r="D129" s="35">
        <v>177103.82</v>
      </c>
      <c r="E129" s="35">
        <v>110569.15</v>
      </c>
      <c r="F129" s="35">
        <v>149529.56</v>
      </c>
      <c r="G129" s="35">
        <v>166054.57999999999</v>
      </c>
      <c r="H129" s="35">
        <v>96286.15</v>
      </c>
      <c r="I129" s="35">
        <v>9646.74</v>
      </c>
      <c r="J129" s="35">
        <v>6929.82</v>
      </c>
      <c r="K129" s="26" t="s">
        <v>278</v>
      </c>
    </row>
    <row r="130" spans="1:11" x14ac:dyDescent="0.2">
      <c r="A130" s="35">
        <v>684212.12</v>
      </c>
      <c r="B130" s="35">
        <v>864022.51</v>
      </c>
      <c r="C130" s="35">
        <v>664790.68000000005</v>
      </c>
      <c r="D130" s="35">
        <v>686984.05</v>
      </c>
      <c r="E130" s="35">
        <v>820478.27</v>
      </c>
      <c r="F130" s="35">
        <v>606188.25</v>
      </c>
      <c r="G130" s="35">
        <v>694508.6</v>
      </c>
      <c r="H130" s="35">
        <v>583886.43999999994</v>
      </c>
      <c r="I130" s="35">
        <v>358776.94</v>
      </c>
      <c r="J130" s="35">
        <v>776911.83</v>
      </c>
      <c r="K130" t="s">
        <v>47</v>
      </c>
    </row>
    <row r="131" spans="1:11" x14ac:dyDescent="0.2">
      <c r="A131">
        <v>2605564.5099999998</v>
      </c>
      <c r="B131">
        <v>2627247.2400000002</v>
      </c>
      <c r="C131">
        <v>2054311.35</v>
      </c>
      <c r="D131">
        <v>2120067.56</v>
      </c>
      <c r="E131">
        <v>2273026.0699999998</v>
      </c>
      <c r="F131">
        <v>2277480.1800000002</v>
      </c>
      <c r="G131">
        <v>2168363.73</v>
      </c>
      <c r="H131">
        <v>2259263.21</v>
      </c>
      <c r="I131">
        <v>1139208</v>
      </c>
      <c r="J131">
        <v>1798123.08</v>
      </c>
      <c r="K131" t="s">
        <v>76</v>
      </c>
    </row>
    <row r="132" spans="1:11" x14ac:dyDescent="0.2">
      <c r="A132" s="35">
        <v>4694131.3</v>
      </c>
      <c r="B132" s="35">
        <v>5031470.63</v>
      </c>
      <c r="C132" s="35">
        <v>5605437.25</v>
      </c>
      <c r="D132" s="35">
        <v>4984848.6399999997</v>
      </c>
      <c r="E132" s="35">
        <v>4358159.08</v>
      </c>
      <c r="F132" s="35">
        <v>4793301.8</v>
      </c>
      <c r="G132" s="35">
        <v>5048948.4800000004</v>
      </c>
      <c r="H132" s="35">
        <v>4915506.82</v>
      </c>
      <c r="I132" s="35">
        <v>2918760.3</v>
      </c>
      <c r="J132" s="35">
        <v>5924051.9100000001</v>
      </c>
    </row>
    <row r="133" spans="1:11" x14ac:dyDescent="0.2">
      <c r="A133" s="35">
        <v>55764.19</v>
      </c>
      <c r="B133" s="35">
        <v>67576.149999999994</v>
      </c>
      <c r="C133" s="35">
        <v>-196842.15</v>
      </c>
      <c r="D133" s="35">
        <v>28096.87</v>
      </c>
      <c r="E133" s="35">
        <v>-84791.38</v>
      </c>
      <c r="F133" s="35">
        <v>80002.039999999994</v>
      </c>
      <c r="G133" s="35">
        <v>57540.15</v>
      </c>
      <c r="H133" s="35">
        <v>-40751.24</v>
      </c>
      <c r="I133" s="35">
        <v>177304.44</v>
      </c>
      <c r="J133" s="35">
        <v>-86086.96</v>
      </c>
    </row>
    <row r="134" spans="1:11" x14ac:dyDescent="0.2">
      <c r="A134" s="35">
        <v>13350.5</v>
      </c>
      <c r="B134" s="35">
        <v>6608.25</v>
      </c>
      <c r="C134" s="35">
        <v>14632.69</v>
      </c>
      <c r="D134" s="35">
        <v>15814.49</v>
      </c>
      <c r="E134" s="35">
        <v>1276.5</v>
      </c>
      <c r="F134" s="35">
        <v>12642.92</v>
      </c>
      <c r="G134" s="35">
        <v>5983.15</v>
      </c>
      <c r="H134" s="35">
        <v>43643.83</v>
      </c>
      <c r="I134" s="35">
        <v>3947.71</v>
      </c>
      <c r="J134" s="35">
        <v>16939.259999999998</v>
      </c>
    </row>
    <row r="135" spans="1:11" x14ac:dyDescent="0.2">
      <c r="A135" s="35">
        <v>-36212.379999999997</v>
      </c>
      <c r="B135" s="35">
        <v>-20171.060000000001</v>
      </c>
      <c r="C135" s="35">
        <v>-19129.2</v>
      </c>
      <c r="D135" s="35">
        <v>-65160.47</v>
      </c>
      <c r="E135" s="35">
        <v>0</v>
      </c>
      <c r="F135" s="35">
        <v>0</v>
      </c>
      <c r="G135" s="35">
        <v>0</v>
      </c>
      <c r="H135" s="35">
        <v>-672.53</v>
      </c>
      <c r="I135" s="35">
        <v>0</v>
      </c>
      <c r="J135" s="35">
        <v>0</v>
      </c>
    </row>
    <row r="136" spans="1:11" x14ac:dyDescent="0.2">
      <c r="A136" s="35">
        <v>70714.210000000006</v>
      </c>
      <c r="B136" s="35">
        <v>68314.42</v>
      </c>
      <c r="C136" s="35">
        <v>77741.05</v>
      </c>
      <c r="D136" s="35">
        <v>66436.97</v>
      </c>
      <c r="E136" s="35">
        <v>65365.62</v>
      </c>
      <c r="F136" s="35">
        <v>62254.17</v>
      </c>
      <c r="G136" s="35">
        <v>62583.43</v>
      </c>
      <c r="H136" s="35">
        <v>91448.91</v>
      </c>
      <c r="I136" s="35">
        <v>52474.66</v>
      </c>
      <c r="J136" s="35">
        <v>53111.01</v>
      </c>
    </row>
    <row r="137" spans="1:11" x14ac:dyDescent="0.2">
      <c r="A137" s="35">
        <v>27903.96</v>
      </c>
      <c r="B137" s="35">
        <v>125570.34</v>
      </c>
      <c r="C137" s="35">
        <v>96009.22</v>
      </c>
      <c r="D137" s="35">
        <v>102583.73</v>
      </c>
      <c r="E137" s="35">
        <v>100720.54</v>
      </c>
      <c r="F137" s="35">
        <v>91284.36</v>
      </c>
      <c r="G137" s="35">
        <v>95530.3</v>
      </c>
      <c r="H137" s="35">
        <v>95347.11</v>
      </c>
      <c r="I137" s="35">
        <v>99437.18</v>
      </c>
      <c r="J137" s="35">
        <v>101288.13</v>
      </c>
    </row>
    <row r="138" spans="1:11" x14ac:dyDescent="0.2">
      <c r="A138" s="35">
        <v>83791.070000000007</v>
      </c>
      <c r="B138" s="35">
        <v>61833.919999999998</v>
      </c>
      <c r="C138" s="35">
        <v>55911.28</v>
      </c>
      <c r="D138" s="35">
        <v>54160.56</v>
      </c>
      <c r="E138" s="35">
        <v>53415.57</v>
      </c>
      <c r="F138" s="35">
        <v>52745.08</v>
      </c>
      <c r="G138" s="35">
        <v>65429.7</v>
      </c>
      <c r="H138" s="35">
        <v>0</v>
      </c>
      <c r="I138" s="35">
        <v>0</v>
      </c>
      <c r="J138" s="35">
        <v>0</v>
      </c>
    </row>
    <row r="139" spans="1:11" x14ac:dyDescent="0.2">
      <c r="A139" s="35">
        <v>62447.3</v>
      </c>
      <c r="B139" s="35">
        <v>66316.52</v>
      </c>
      <c r="C139" s="35">
        <v>69472.55</v>
      </c>
      <c r="D139" s="35">
        <v>66229.83</v>
      </c>
      <c r="E139" s="35">
        <v>110259.75</v>
      </c>
      <c r="F139" s="35">
        <v>59033.04</v>
      </c>
      <c r="G139" s="35">
        <v>225340.89</v>
      </c>
      <c r="H139" s="35">
        <v>67810.929999999993</v>
      </c>
      <c r="I139" s="35">
        <v>78627.759999999995</v>
      </c>
      <c r="J139" s="35">
        <v>84059.5</v>
      </c>
    </row>
    <row r="140" spans="1:11" x14ac:dyDescent="0.2">
      <c r="A140" s="35">
        <v>0</v>
      </c>
      <c r="B140" s="35">
        <v>0</v>
      </c>
      <c r="C140" s="35">
        <v>0</v>
      </c>
      <c r="D140" s="35">
        <v>1425</v>
      </c>
      <c r="E140" s="35">
        <v>0</v>
      </c>
      <c r="F140" s="35">
        <v>0</v>
      </c>
      <c r="G140" s="35">
        <v>0</v>
      </c>
      <c r="H140" s="35">
        <v>2502.5</v>
      </c>
      <c r="I140" s="35">
        <v>0</v>
      </c>
      <c r="J140" s="35">
        <v>0</v>
      </c>
    </row>
    <row r="141" spans="1:11" x14ac:dyDescent="0.2">
      <c r="A141" s="35">
        <v>244856.54</v>
      </c>
      <c r="B141" s="35">
        <v>322035.20000000001</v>
      </c>
      <c r="C141" s="35">
        <v>299134.09999999998</v>
      </c>
      <c r="D141" s="35">
        <v>290836.09000000003</v>
      </c>
      <c r="E141" s="35">
        <v>329761.48</v>
      </c>
      <c r="F141" s="35">
        <v>265316.65000000002</v>
      </c>
      <c r="G141" s="35">
        <v>448884.32</v>
      </c>
      <c r="H141" s="35">
        <v>257109.45</v>
      </c>
      <c r="I141" s="35">
        <v>230539.6</v>
      </c>
      <c r="J141" s="35">
        <v>238458.64</v>
      </c>
    </row>
    <row r="142" spans="1:11" x14ac:dyDescent="0.2">
      <c r="A142" s="35">
        <v>502500.55</v>
      </c>
      <c r="B142" s="35">
        <v>579740.82999999996</v>
      </c>
      <c r="C142" s="35">
        <v>395251.79</v>
      </c>
      <c r="D142" s="35">
        <v>324142.8</v>
      </c>
      <c r="E142" s="35">
        <v>361292.23</v>
      </c>
      <c r="F142" s="35">
        <v>296360.24</v>
      </c>
      <c r="G142" s="35">
        <v>274755.18</v>
      </c>
      <c r="H142" s="35">
        <v>296980.01</v>
      </c>
      <c r="I142" s="35">
        <v>126869.69</v>
      </c>
      <c r="J142" s="35">
        <v>521136.37</v>
      </c>
    </row>
    <row r="143" spans="1:11" x14ac:dyDescent="0.2">
      <c r="A143" s="35">
        <v>165893.67000000001</v>
      </c>
      <c r="B143" s="35">
        <v>175057.94</v>
      </c>
      <c r="C143" s="35">
        <v>212812.4</v>
      </c>
      <c r="D143" s="35">
        <v>112411.27</v>
      </c>
      <c r="E143" s="35">
        <v>52499.199999999997</v>
      </c>
      <c r="F143" s="35">
        <v>84952.37</v>
      </c>
      <c r="G143" s="35">
        <v>91858.97</v>
      </c>
      <c r="H143" s="35">
        <v>89009.43</v>
      </c>
      <c r="I143" s="35">
        <v>2680</v>
      </c>
      <c r="J143" s="35">
        <v>3410</v>
      </c>
    </row>
    <row r="144" spans="1:11" x14ac:dyDescent="0.2">
      <c r="A144" s="35">
        <v>0</v>
      </c>
      <c r="B144" s="35">
        <v>1167.6500000000001</v>
      </c>
      <c r="C144" s="35">
        <v>1167.6500000000001</v>
      </c>
      <c r="D144" s="35">
        <v>1167.6500000000001</v>
      </c>
      <c r="E144" s="35">
        <v>1167.8499999999999</v>
      </c>
      <c r="F144" s="35">
        <v>1167.6500000000001</v>
      </c>
      <c r="G144" s="35">
        <v>5442.06</v>
      </c>
      <c r="H144" s="35">
        <v>12796.98</v>
      </c>
      <c r="I144" s="35">
        <v>1167.6500000000001</v>
      </c>
      <c r="J144" s="35">
        <v>5388.95</v>
      </c>
    </row>
    <row r="145" spans="1:11" x14ac:dyDescent="0.2">
      <c r="A145" s="35">
        <v>3174.86</v>
      </c>
      <c r="B145" s="35">
        <v>5982.22</v>
      </c>
      <c r="C145" s="35">
        <v>7724.65</v>
      </c>
      <c r="D145" s="35">
        <v>15506.07</v>
      </c>
      <c r="E145" s="35">
        <v>13220.03</v>
      </c>
      <c r="F145" s="35">
        <v>11990.98</v>
      </c>
      <c r="G145" s="35">
        <v>8051.27</v>
      </c>
      <c r="H145" s="35">
        <v>0</v>
      </c>
      <c r="I145" s="35">
        <v>0</v>
      </c>
      <c r="J145" s="35">
        <v>550</v>
      </c>
    </row>
    <row r="146" spans="1:11" x14ac:dyDescent="0.2">
      <c r="A146" s="35">
        <v>2164.6</v>
      </c>
      <c r="B146" s="35">
        <v>2103.11</v>
      </c>
      <c r="C146" s="35">
        <v>2143.37</v>
      </c>
      <c r="D146" s="35">
        <v>2000</v>
      </c>
      <c r="E146" s="35">
        <v>57957.68</v>
      </c>
      <c r="F146" s="35">
        <v>2000</v>
      </c>
      <c r="G146" s="35">
        <v>0</v>
      </c>
      <c r="H146" s="35">
        <v>0</v>
      </c>
      <c r="I146" s="35">
        <v>0</v>
      </c>
      <c r="J146" s="35">
        <v>0</v>
      </c>
    </row>
    <row r="147" spans="1:11" x14ac:dyDescent="0.2">
      <c r="A147" s="35">
        <v>186539.77</v>
      </c>
      <c r="B147" s="35">
        <v>199138.34</v>
      </c>
      <c r="C147" s="35">
        <v>239128.47</v>
      </c>
      <c r="D147" s="35">
        <v>238576.99</v>
      </c>
      <c r="E147" s="35">
        <v>235339.33</v>
      </c>
      <c r="F147" s="35">
        <v>182208.81</v>
      </c>
      <c r="G147" s="35">
        <v>128157.77</v>
      </c>
      <c r="H147" s="35">
        <v>118806.41</v>
      </c>
      <c r="I147" s="35">
        <v>4047.65</v>
      </c>
      <c r="J147" s="35">
        <v>20726.82</v>
      </c>
    </row>
    <row r="148" spans="1:11" x14ac:dyDescent="0.2">
      <c r="A148" s="35">
        <v>5661994.0700000003</v>
      </c>
      <c r="B148" s="35">
        <v>6190740.3799999999</v>
      </c>
      <c r="C148" s="35">
        <v>6339596.25</v>
      </c>
      <c r="D148" s="35">
        <v>5827687.4000000004</v>
      </c>
      <c r="E148" s="35">
        <v>5205691.62</v>
      </c>
      <c r="F148" s="35">
        <v>5641664.5700000003</v>
      </c>
      <c r="G148" s="35">
        <v>5973034.96</v>
      </c>
      <c r="H148" s="35">
        <v>5597899.4699999997</v>
      </c>
      <c r="I148" s="35">
        <v>3468436.13</v>
      </c>
      <c r="J148" s="35">
        <v>6638745.8600000003</v>
      </c>
    </row>
    <row r="149" spans="1:11" x14ac:dyDescent="0.2">
      <c r="A149" s="35">
        <v>4841239.91</v>
      </c>
      <c r="B149" s="35">
        <v>5312766.2</v>
      </c>
      <c r="C149" s="35">
        <v>5143122.42</v>
      </c>
      <c r="D149" s="35">
        <v>4615000.51</v>
      </c>
      <c r="E149" s="35">
        <v>4448593.07</v>
      </c>
      <c r="F149" s="35">
        <v>4542738.78</v>
      </c>
      <c r="G149" s="35">
        <v>4873061.05</v>
      </c>
      <c r="H149" s="35">
        <v>4954270.24</v>
      </c>
      <c r="I149" s="35">
        <v>2949087.27</v>
      </c>
      <c r="J149" s="35">
        <v>4976416.8</v>
      </c>
    </row>
    <row r="150" spans="1:11" x14ac:dyDescent="0.2">
      <c r="A150" s="35">
        <v>75011.61</v>
      </c>
      <c r="B150" s="35">
        <v>78340.75</v>
      </c>
      <c r="C150" s="35">
        <v>-176340.89</v>
      </c>
      <c r="D150" s="35">
        <v>27675.59</v>
      </c>
      <c r="E150" s="35">
        <v>-86118.6</v>
      </c>
      <c r="F150" s="35">
        <v>66114</v>
      </c>
      <c r="G150" s="35">
        <v>56457.13</v>
      </c>
      <c r="H150" s="35">
        <v>-43344.85</v>
      </c>
      <c r="I150" s="35">
        <v>178375.99</v>
      </c>
      <c r="J150" s="35">
        <v>-88640.05</v>
      </c>
    </row>
    <row r="151" spans="1:11" x14ac:dyDescent="0.2">
      <c r="A151" s="35">
        <v>17690.45</v>
      </c>
      <c r="B151" s="35">
        <v>7578.45</v>
      </c>
      <c r="C151" s="35">
        <v>13094.9</v>
      </c>
      <c r="D151" s="35">
        <v>15539</v>
      </c>
      <c r="E151" s="35">
        <v>1219.6600000000001</v>
      </c>
      <c r="F151" s="35">
        <v>11510.12</v>
      </c>
      <c r="G151" s="35">
        <v>5851.48</v>
      </c>
      <c r="H151" s="35">
        <v>43523.34</v>
      </c>
      <c r="I151" s="35">
        <v>4015.23</v>
      </c>
      <c r="J151" s="35">
        <v>13000.86</v>
      </c>
    </row>
    <row r="152" spans="1:11" x14ac:dyDescent="0.2">
      <c r="A152" s="35">
        <v>-25939.17</v>
      </c>
      <c r="B152" s="35">
        <v>-17868.68</v>
      </c>
      <c r="C152" s="35">
        <v>-16767.5</v>
      </c>
      <c r="D152" s="35">
        <v>-57506.37</v>
      </c>
      <c r="E152" s="35">
        <v>0</v>
      </c>
      <c r="F152" s="35">
        <v>0</v>
      </c>
      <c r="G152" s="35">
        <v>0</v>
      </c>
      <c r="H152" s="35">
        <v>-658.08</v>
      </c>
      <c r="I152" s="35">
        <v>0</v>
      </c>
      <c r="J152" s="35">
        <v>0</v>
      </c>
    </row>
    <row r="153" spans="1:11" x14ac:dyDescent="0.2">
      <c r="A153">
        <v>75425.740000000005</v>
      </c>
      <c r="B153">
        <v>77176.95</v>
      </c>
      <c r="C153">
        <v>74394.98</v>
      </c>
      <c r="D153">
        <v>74973.73</v>
      </c>
      <c r="E153">
        <v>81729.279999999999</v>
      </c>
      <c r="F153">
        <v>83884.44</v>
      </c>
      <c r="G153">
        <v>85191.2</v>
      </c>
      <c r="H153">
        <v>85743.22</v>
      </c>
      <c r="I153">
        <v>51988.36</v>
      </c>
      <c r="J153">
        <v>76269.919999999998</v>
      </c>
    </row>
    <row r="154" spans="1:11" x14ac:dyDescent="0.2">
      <c r="A154">
        <v>3904716.07</v>
      </c>
      <c r="B154">
        <v>3992606.24</v>
      </c>
      <c r="C154">
        <v>3583231.01</v>
      </c>
      <c r="D154">
        <v>3560041.4</v>
      </c>
      <c r="E154">
        <v>3351444.31</v>
      </c>
      <c r="F154">
        <v>3313102.23</v>
      </c>
      <c r="G154">
        <v>3390074.8799999999</v>
      </c>
      <c r="H154">
        <v>3285753.35</v>
      </c>
      <c r="I154">
        <v>1875734.07</v>
      </c>
      <c r="J154">
        <v>3307757.62</v>
      </c>
      <c r="K154" t="s">
        <v>42</v>
      </c>
    </row>
    <row r="155" spans="1:11" x14ac:dyDescent="0.2">
      <c r="A155">
        <v>166016.91</v>
      </c>
      <c r="B155">
        <v>188214.38</v>
      </c>
      <c r="C155">
        <v>184465.73</v>
      </c>
      <c r="D155">
        <v>147707.35999999999</v>
      </c>
      <c r="E155">
        <v>152319.5</v>
      </c>
      <c r="F155">
        <v>153929.93</v>
      </c>
      <c r="G155">
        <v>157252.42000000001</v>
      </c>
      <c r="H155">
        <v>148247.42000000001</v>
      </c>
      <c r="I155">
        <v>86667.25</v>
      </c>
      <c r="J155">
        <v>159842.71</v>
      </c>
      <c r="K155" t="s">
        <v>42</v>
      </c>
    </row>
    <row r="156" spans="1:11" x14ac:dyDescent="0.2">
      <c r="A156">
        <v>5001152.21</v>
      </c>
      <c r="B156">
        <v>5175484.42</v>
      </c>
      <c r="C156">
        <v>4729425.53</v>
      </c>
      <c r="D156">
        <v>4834709.5599999996</v>
      </c>
      <c r="E156">
        <v>4750062.41</v>
      </c>
      <c r="F156">
        <v>4675629.1399999997</v>
      </c>
      <c r="G156">
        <v>4692537.3099999996</v>
      </c>
      <c r="H156">
        <v>4613170.47</v>
      </c>
      <c r="I156">
        <v>2662768.34</v>
      </c>
      <c r="J156">
        <v>4672252.6399999997</v>
      </c>
      <c r="K156" t="s">
        <v>42</v>
      </c>
    </row>
    <row r="157" spans="1:11" x14ac:dyDescent="0.2">
      <c r="A157">
        <v>0</v>
      </c>
      <c r="B157">
        <v>0</v>
      </c>
      <c r="C157">
        <v>0</v>
      </c>
      <c r="D157">
        <v>0</v>
      </c>
      <c r="E157">
        <v>4254.3999999999996</v>
      </c>
      <c r="F157">
        <v>4179.18</v>
      </c>
      <c r="G157">
        <v>15733.06</v>
      </c>
      <c r="H157">
        <v>15352.38</v>
      </c>
      <c r="I157">
        <v>0</v>
      </c>
      <c r="J157">
        <v>0</v>
      </c>
      <c r="K157" t="s">
        <v>42</v>
      </c>
    </row>
    <row r="158" spans="1:11" x14ac:dyDescent="0.2">
      <c r="A158" s="35">
        <v>14978.49</v>
      </c>
      <c r="B158" s="35">
        <v>19080.16</v>
      </c>
      <c r="C158" s="35">
        <v>24781.98</v>
      </c>
      <c r="D158" s="35">
        <v>25075.59</v>
      </c>
      <c r="E158" s="35">
        <v>27103.23</v>
      </c>
      <c r="F158" s="35">
        <v>24503.49</v>
      </c>
      <c r="G158" s="35">
        <v>22919.4</v>
      </c>
      <c r="H158" s="35">
        <v>21984.81</v>
      </c>
      <c r="I158" s="35">
        <v>13937.59</v>
      </c>
      <c r="J158" s="35">
        <v>38720.449999999997</v>
      </c>
      <c r="K158" t="s">
        <v>292</v>
      </c>
    </row>
    <row r="159" spans="1:11" x14ac:dyDescent="0.2">
      <c r="A159" s="35">
        <v>1467470.7</v>
      </c>
      <c r="B159" s="35">
        <v>1940305.68</v>
      </c>
      <c r="C159" s="35">
        <v>2625122.86</v>
      </c>
      <c r="D159" s="35">
        <v>2346039.6</v>
      </c>
      <c r="E159" s="35">
        <v>1761449.47</v>
      </c>
      <c r="F159" s="35">
        <v>1632570.29</v>
      </c>
      <c r="G159" s="35">
        <v>1828291.46</v>
      </c>
      <c r="H159" s="35">
        <v>1746533.64</v>
      </c>
      <c r="I159" s="35">
        <v>1203099.67</v>
      </c>
      <c r="J159" s="35">
        <v>3531672.15</v>
      </c>
    </row>
    <row r="160" spans="1:11" x14ac:dyDescent="0.2">
      <c r="A160" s="35">
        <v>3275.91</v>
      </c>
      <c r="B160" s="35">
        <v>4512.5</v>
      </c>
      <c r="C160" s="35">
        <v>7639.94</v>
      </c>
      <c r="D160" s="35">
        <v>6827.37</v>
      </c>
      <c r="E160" s="35">
        <v>5580.31</v>
      </c>
      <c r="F160" s="35">
        <v>8095.71</v>
      </c>
      <c r="G160" s="35">
        <v>8549.24</v>
      </c>
      <c r="H160" s="35">
        <v>7980.2</v>
      </c>
      <c r="I160" s="35">
        <v>7776.62</v>
      </c>
      <c r="J160" s="35">
        <v>6840.79</v>
      </c>
    </row>
    <row r="161" spans="1:11" x14ac:dyDescent="0.2">
      <c r="A161" s="35">
        <v>410338.77</v>
      </c>
      <c r="B161" s="35">
        <v>630738.53</v>
      </c>
      <c r="C161" s="35">
        <v>876423.74</v>
      </c>
      <c r="D161" s="35">
        <v>838828.46</v>
      </c>
      <c r="E161" s="35">
        <v>725787.58</v>
      </c>
      <c r="F161" s="35">
        <v>1015177.66</v>
      </c>
      <c r="G161" s="35">
        <v>909995</v>
      </c>
      <c r="H161" s="35">
        <v>873910.89</v>
      </c>
      <c r="I161" s="35">
        <v>758778.28</v>
      </c>
      <c r="J161" s="35">
        <v>706460.72</v>
      </c>
    </row>
    <row r="162" spans="1:11" x14ac:dyDescent="0.2">
      <c r="A162" s="35">
        <v>3372.96</v>
      </c>
      <c r="B162" s="35">
        <v>9377.0400000000009</v>
      </c>
      <c r="C162" s="35">
        <v>9266.02</v>
      </c>
      <c r="D162" s="35">
        <v>10717.2</v>
      </c>
      <c r="E162" s="35">
        <v>10260.870000000001</v>
      </c>
      <c r="F162" s="35">
        <v>9541.86</v>
      </c>
      <c r="G162" s="35">
        <v>8232.83</v>
      </c>
      <c r="H162" s="35">
        <v>8239.5300000000007</v>
      </c>
      <c r="I162" s="35">
        <v>3995.55</v>
      </c>
      <c r="J162" s="35">
        <v>7235.16</v>
      </c>
    </row>
    <row r="163" spans="1:11" x14ac:dyDescent="0.2">
      <c r="A163" s="35">
        <v>150501.87</v>
      </c>
      <c r="B163" s="35">
        <v>528435.94999999995</v>
      </c>
      <c r="C163" s="35">
        <v>386825.65</v>
      </c>
      <c r="D163" s="35">
        <v>374270.28</v>
      </c>
      <c r="E163" s="35">
        <v>313088.31</v>
      </c>
      <c r="F163" s="35">
        <v>355210.6</v>
      </c>
      <c r="G163" s="35">
        <v>362034.48</v>
      </c>
      <c r="H163" s="35">
        <v>336348.35</v>
      </c>
      <c r="I163" s="35">
        <v>178647.77</v>
      </c>
      <c r="J163" s="35">
        <v>325169</v>
      </c>
    </row>
    <row r="164" spans="1:11" x14ac:dyDescent="0.2">
      <c r="A164" s="35">
        <v>2623.18</v>
      </c>
      <c r="B164" s="35">
        <v>6932.8</v>
      </c>
      <c r="C164" s="35">
        <v>15629.1</v>
      </c>
      <c r="D164" s="35">
        <v>9689.91</v>
      </c>
      <c r="E164" s="35">
        <v>12943.28</v>
      </c>
      <c r="F164" s="35">
        <v>12749.3</v>
      </c>
      <c r="G164" s="35">
        <v>15248.25</v>
      </c>
      <c r="H164" s="35">
        <v>19061.599999999999</v>
      </c>
      <c r="I164" s="35">
        <v>9959.08</v>
      </c>
      <c r="J164" s="35">
        <v>11426.67</v>
      </c>
    </row>
    <row r="165" spans="1:11" x14ac:dyDescent="0.2">
      <c r="A165" s="35">
        <v>166260.46</v>
      </c>
      <c r="B165" s="35">
        <v>465887.33</v>
      </c>
      <c r="C165" s="35">
        <v>659328.17000000004</v>
      </c>
      <c r="D165" s="35">
        <v>371259.86</v>
      </c>
      <c r="E165" s="35">
        <v>553288.49</v>
      </c>
      <c r="F165" s="35">
        <v>579269.88</v>
      </c>
      <c r="G165" s="35">
        <v>736173.36</v>
      </c>
      <c r="H165" s="35">
        <v>816108.24</v>
      </c>
      <c r="I165" s="35">
        <v>422037.16</v>
      </c>
      <c r="J165" s="35">
        <v>512420.55</v>
      </c>
    </row>
    <row r="166" spans="1:11" x14ac:dyDescent="0.2">
      <c r="A166" s="35">
        <v>18061.61</v>
      </c>
      <c r="B166" s="35">
        <v>9858.16</v>
      </c>
      <c r="C166" s="35">
        <v>3749.95</v>
      </c>
      <c r="D166" s="35">
        <v>7689.64</v>
      </c>
      <c r="E166" s="35">
        <v>8389.42</v>
      </c>
      <c r="F166" s="35">
        <v>8094.64</v>
      </c>
      <c r="G166" s="35">
        <v>7354.2</v>
      </c>
      <c r="H166" s="35">
        <v>5656.92</v>
      </c>
      <c r="I166" s="35">
        <v>2310.1999999999998</v>
      </c>
      <c r="J166" s="35">
        <v>6106.85</v>
      </c>
    </row>
    <row r="167" spans="1:11" x14ac:dyDescent="0.2">
      <c r="A167" s="35">
        <v>528990.27</v>
      </c>
      <c r="B167" s="35">
        <v>262722.03999999998</v>
      </c>
      <c r="C167" s="35">
        <v>114694.81</v>
      </c>
      <c r="D167" s="35">
        <v>184280.31</v>
      </c>
      <c r="E167" s="35">
        <v>202708.12</v>
      </c>
      <c r="F167" s="35">
        <v>258446.61</v>
      </c>
      <c r="G167" s="35">
        <v>126233.45</v>
      </c>
      <c r="H167" s="35">
        <v>135005.47</v>
      </c>
      <c r="I167" s="35">
        <v>14158.99</v>
      </c>
      <c r="J167" s="35">
        <v>117156.32</v>
      </c>
    </row>
    <row r="168" spans="1:11" x14ac:dyDescent="0.2">
      <c r="A168" s="35">
        <v>13974.04</v>
      </c>
      <c r="B168" s="35">
        <v>15064.78</v>
      </c>
      <c r="C168" s="35">
        <v>17031.8</v>
      </c>
      <c r="D168" s="35">
        <v>17975.97</v>
      </c>
      <c r="E168" s="35">
        <v>12481.37</v>
      </c>
      <c r="F168" s="35">
        <v>18497.16</v>
      </c>
      <c r="G168" s="35">
        <v>15627.81</v>
      </c>
      <c r="H168" s="35">
        <v>14470.45</v>
      </c>
      <c r="I168" s="35">
        <v>6173.35</v>
      </c>
      <c r="J168" s="35">
        <v>9299.85</v>
      </c>
    </row>
    <row r="169" spans="1:11" x14ac:dyDescent="0.2">
      <c r="A169" s="35">
        <v>774720.84</v>
      </c>
      <c r="B169" s="35">
        <v>765672.39</v>
      </c>
      <c r="C169" s="35">
        <v>640936.09</v>
      </c>
      <c r="D169" s="35">
        <v>674455.44</v>
      </c>
      <c r="E169" s="35">
        <v>639803.27</v>
      </c>
      <c r="F169" s="35">
        <v>826102.27</v>
      </c>
      <c r="G169" s="35">
        <v>681244.83</v>
      </c>
      <c r="H169" s="35">
        <v>641855.78</v>
      </c>
      <c r="I169" s="35">
        <v>231859.45</v>
      </c>
      <c r="J169" s="35">
        <v>362565.9</v>
      </c>
    </row>
    <row r="170" spans="1:11" x14ac:dyDescent="0.2">
      <c r="A170">
        <v>71566.679999999993</v>
      </c>
      <c r="B170">
        <v>74251.44</v>
      </c>
      <c r="C170">
        <v>86605.33</v>
      </c>
      <c r="D170">
        <v>82437.740000000005</v>
      </c>
      <c r="E170">
        <v>80629.119999999995</v>
      </c>
      <c r="F170">
        <v>86032.47</v>
      </c>
      <c r="G170">
        <v>86747.78</v>
      </c>
      <c r="H170">
        <v>85328.99</v>
      </c>
      <c r="I170">
        <v>47050.75</v>
      </c>
      <c r="J170">
        <v>91071.91</v>
      </c>
      <c r="K170" t="s">
        <v>227</v>
      </c>
    </row>
    <row r="171" spans="1:11" x14ac:dyDescent="0.2">
      <c r="A171">
        <v>2101.59</v>
      </c>
      <c r="B171">
        <v>-90.6</v>
      </c>
      <c r="C171">
        <v>-4895.68</v>
      </c>
      <c r="D171">
        <v>-925.99</v>
      </c>
      <c r="E171">
        <v>-301.69</v>
      </c>
      <c r="F171">
        <v>2633.39</v>
      </c>
      <c r="G171">
        <v>1449.63</v>
      </c>
      <c r="H171">
        <v>-1391.25</v>
      </c>
      <c r="I171">
        <v>4340.22</v>
      </c>
      <c r="J171">
        <v>-2934.27</v>
      </c>
      <c r="K171" t="s">
        <v>228</v>
      </c>
    </row>
    <row r="172" spans="1:11" x14ac:dyDescent="0.2">
      <c r="A172">
        <v>199.13</v>
      </c>
      <c r="B172">
        <v>108.59</v>
      </c>
      <c r="C172">
        <v>350.53</v>
      </c>
      <c r="D172">
        <v>318.69</v>
      </c>
      <c r="E172">
        <v>33.42</v>
      </c>
      <c r="F172">
        <v>205.08</v>
      </c>
      <c r="G172">
        <v>122.7</v>
      </c>
      <c r="H172">
        <v>1126.6300000000001</v>
      </c>
      <c r="I172">
        <v>70.45</v>
      </c>
      <c r="J172">
        <v>324.92</v>
      </c>
      <c r="K172" t="s">
        <v>229</v>
      </c>
    </row>
    <row r="173" spans="1:11" x14ac:dyDescent="0.2">
      <c r="A173">
        <v>690.2</v>
      </c>
      <c r="B173">
        <v>-357.66</v>
      </c>
      <c r="C173">
        <v>-365.5</v>
      </c>
      <c r="D173">
        <v>-1137.17</v>
      </c>
      <c r="E173">
        <v>0</v>
      </c>
      <c r="F173">
        <v>0</v>
      </c>
      <c r="G173">
        <v>0</v>
      </c>
      <c r="H173">
        <v>-24</v>
      </c>
      <c r="I173">
        <v>0</v>
      </c>
      <c r="J173">
        <v>0</v>
      </c>
      <c r="K173" t="s">
        <v>230</v>
      </c>
    </row>
    <row r="174" spans="1:11" x14ac:dyDescent="0.2">
      <c r="A174">
        <v>2420.2199999999998</v>
      </c>
      <c r="B174">
        <v>7407.78</v>
      </c>
      <c r="C174">
        <v>6727.66</v>
      </c>
      <c r="D174">
        <v>3226.95</v>
      </c>
      <c r="E174">
        <v>3776.34</v>
      </c>
      <c r="F174">
        <v>4528.12</v>
      </c>
      <c r="G174">
        <v>3460.09</v>
      </c>
      <c r="H174">
        <v>2051.9</v>
      </c>
      <c r="I174">
        <v>2891</v>
      </c>
      <c r="J174">
        <v>6782.55</v>
      </c>
      <c r="K174" t="s">
        <v>231</v>
      </c>
    </row>
    <row r="175" spans="1:11" x14ac:dyDescent="0.2">
      <c r="A175">
        <v>0</v>
      </c>
      <c r="B175">
        <v>0</v>
      </c>
      <c r="C175">
        <v>0</v>
      </c>
      <c r="D175">
        <v>0</v>
      </c>
      <c r="E175">
        <v>0</v>
      </c>
      <c r="F175">
        <v>0</v>
      </c>
      <c r="G175">
        <v>0</v>
      </c>
      <c r="H175">
        <v>0</v>
      </c>
      <c r="I175">
        <v>0</v>
      </c>
      <c r="J175">
        <v>0</v>
      </c>
      <c r="K175" t="s">
        <v>232</v>
      </c>
    </row>
    <row r="176" spans="1:11" x14ac:dyDescent="0.2">
      <c r="A176">
        <v>56506.71</v>
      </c>
      <c r="B176">
        <v>64964.33</v>
      </c>
      <c r="C176">
        <v>78111.67</v>
      </c>
      <c r="D176">
        <v>78006.8</v>
      </c>
      <c r="E176">
        <v>76852.78</v>
      </c>
      <c r="F176">
        <v>81504.350000000006</v>
      </c>
      <c r="G176">
        <v>78068.69</v>
      </c>
      <c r="H176">
        <v>77515.09</v>
      </c>
      <c r="I176">
        <v>44159.75</v>
      </c>
      <c r="J176">
        <v>79629.77</v>
      </c>
      <c r="K176" t="s">
        <v>233</v>
      </c>
    </row>
    <row r="177" spans="1:11" x14ac:dyDescent="0.2">
      <c r="A177">
        <v>0</v>
      </c>
      <c r="B177">
        <v>0</v>
      </c>
      <c r="C177">
        <v>0</v>
      </c>
      <c r="D177">
        <v>0</v>
      </c>
      <c r="E177">
        <v>0</v>
      </c>
      <c r="F177">
        <v>0</v>
      </c>
      <c r="G177">
        <v>0</v>
      </c>
      <c r="H177">
        <v>0</v>
      </c>
      <c r="I177">
        <v>0</v>
      </c>
      <c r="J177">
        <v>4659.59</v>
      </c>
      <c r="K177" t="s">
        <v>234</v>
      </c>
    </row>
    <row r="178" spans="1:11" x14ac:dyDescent="0.2">
      <c r="A178">
        <v>6754.12</v>
      </c>
      <c r="B178">
        <v>0</v>
      </c>
      <c r="C178">
        <v>0</v>
      </c>
      <c r="D178">
        <v>0</v>
      </c>
      <c r="E178">
        <v>0</v>
      </c>
      <c r="F178">
        <v>0</v>
      </c>
      <c r="G178">
        <v>0</v>
      </c>
      <c r="H178">
        <v>0</v>
      </c>
      <c r="I178">
        <v>0</v>
      </c>
      <c r="J178">
        <v>0</v>
      </c>
      <c r="K178" t="s">
        <v>235</v>
      </c>
    </row>
    <row r="179" spans="1:11" x14ac:dyDescent="0.2">
      <c r="A179">
        <v>5885.63</v>
      </c>
      <c r="B179">
        <v>1879.33</v>
      </c>
      <c r="C179">
        <v>1766</v>
      </c>
      <c r="D179">
        <v>1203.99</v>
      </c>
      <c r="E179">
        <v>0</v>
      </c>
      <c r="F179">
        <v>0</v>
      </c>
      <c r="G179">
        <v>5219</v>
      </c>
      <c r="H179">
        <v>5762</v>
      </c>
      <c r="I179">
        <v>0</v>
      </c>
      <c r="J179">
        <v>0</v>
      </c>
      <c r="K179" t="s">
        <v>236</v>
      </c>
    </row>
    <row r="180" spans="1:11" x14ac:dyDescent="0.2">
      <c r="A180">
        <v>0</v>
      </c>
      <c r="B180">
        <v>0</v>
      </c>
      <c r="C180">
        <v>0</v>
      </c>
      <c r="D180">
        <v>0</v>
      </c>
      <c r="E180">
        <v>0</v>
      </c>
      <c r="F180">
        <v>0</v>
      </c>
      <c r="G180">
        <v>0</v>
      </c>
      <c r="H180">
        <v>0</v>
      </c>
      <c r="I180">
        <v>0</v>
      </c>
      <c r="J180">
        <v>0</v>
      </c>
      <c r="K180" t="s">
        <v>237</v>
      </c>
    </row>
    <row r="181" spans="1:11" x14ac:dyDescent="0.2">
      <c r="A181">
        <v>45040.3</v>
      </c>
      <c r="B181">
        <v>39408.400000000001</v>
      </c>
      <c r="C181">
        <v>38285.03</v>
      </c>
      <c r="D181">
        <v>43878.559999999998</v>
      </c>
      <c r="E181">
        <v>45957.97</v>
      </c>
      <c r="F181">
        <v>42243.79</v>
      </c>
      <c r="G181">
        <v>38880.93</v>
      </c>
      <c r="H181">
        <v>36126.239999999998</v>
      </c>
      <c r="I181">
        <v>20395.79</v>
      </c>
      <c r="J181">
        <v>52641.82</v>
      </c>
      <c r="K181" t="s">
        <v>238</v>
      </c>
    </row>
    <row r="182" spans="1:11" x14ac:dyDescent="0.2">
      <c r="A182">
        <v>26526.38</v>
      </c>
      <c r="B182">
        <v>34843.040000000001</v>
      </c>
      <c r="C182">
        <v>48320.3</v>
      </c>
      <c r="D182">
        <v>38559.18</v>
      </c>
      <c r="E182">
        <v>34671.15</v>
      </c>
      <c r="F182">
        <v>43788.68</v>
      </c>
      <c r="G182">
        <v>47866.85</v>
      </c>
      <c r="H182">
        <v>49202.75</v>
      </c>
      <c r="I182">
        <v>26654.959999999999</v>
      </c>
      <c r="J182">
        <v>38430.089999999997</v>
      </c>
      <c r="K182" t="s">
        <v>239</v>
      </c>
    </row>
    <row r="183" spans="1:11" x14ac:dyDescent="0.2">
      <c r="A183">
        <v>22525.42</v>
      </c>
      <c r="B183">
        <v>23764.83</v>
      </c>
      <c r="C183">
        <v>32660.400000000001</v>
      </c>
      <c r="D183">
        <v>32217.97</v>
      </c>
      <c r="E183">
        <v>32740.69</v>
      </c>
      <c r="F183">
        <v>32732.49</v>
      </c>
      <c r="G183">
        <v>31623.63</v>
      </c>
      <c r="H183">
        <v>29992.31</v>
      </c>
      <c r="I183">
        <v>21776.31</v>
      </c>
      <c r="J183">
        <v>46218.95</v>
      </c>
      <c r="K183" t="s">
        <v>240</v>
      </c>
    </row>
    <row r="184" spans="1:11" x14ac:dyDescent="0.2">
      <c r="A184">
        <v>244.84</v>
      </c>
      <c r="B184">
        <v>152.37</v>
      </c>
      <c r="C184">
        <v>23.03</v>
      </c>
      <c r="D184">
        <v>32.82</v>
      </c>
      <c r="E184">
        <v>154.85</v>
      </c>
      <c r="F184">
        <v>22.19</v>
      </c>
      <c r="G184">
        <v>136.96</v>
      </c>
      <c r="H184">
        <v>130.18</v>
      </c>
      <c r="I184">
        <v>7.36</v>
      </c>
      <c r="J184">
        <v>6.9</v>
      </c>
      <c r="K184" t="s">
        <v>241</v>
      </c>
    </row>
    <row r="185" spans="1:11" x14ac:dyDescent="0.2">
      <c r="A185">
        <v>13018.96</v>
      </c>
      <c r="B185">
        <v>16963.3</v>
      </c>
      <c r="C185">
        <v>24895.119999999999</v>
      </c>
      <c r="D185">
        <v>20654.21</v>
      </c>
      <c r="E185">
        <v>23204.15</v>
      </c>
      <c r="F185">
        <v>23009.23</v>
      </c>
      <c r="G185">
        <v>23481.08</v>
      </c>
      <c r="H185">
        <v>27301.13</v>
      </c>
      <c r="I185">
        <v>13954.63</v>
      </c>
      <c r="J185">
        <v>19521.77</v>
      </c>
      <c r="K185" t="s">
        <v>242</v>
      </c>
    </row>
    <row r="186" spans="1:11" x14ac:dyDescent="0.2">
      <c r="A186">
        <v>35777.46</v>
      </c>
      <c r="B186">
        <v>33370.94</v>
      </c>
      <c r="C186">
        <v>29026.78</v>
      </c>
      <c r="D186">
        <v>29532.74</v>
      </c>
      <c r="E186">
        <v>24529.43</v>
      </c>
      <c r="F186">
        <v>30268.560000000001</v>
      </c>
      <c r="G186">
        <v>31506.11</v>
      </c>
      <c r="H186">
        <v>27905.37</v>
      </c>
      <c r="I186">
        <v>11312.45</v>
      </c>
      <c r="J186">
        <v>25324.29</v>
      </c>
      <c r="K186" t="s">
        <v>243</v>
      </c>
    </row>
    <row r="187" spans="1:11" x14ac:dyDescent="0.2">
      <c r="A187">
        <v>0</v>
      </c>
      <c r="B187">
        <v>0</v>
      </c>
      <c r="C187">
        <v>0</v>
      </c>
      <c r="D187">
        <v>0</v>
      </c>
      <c r="E187">
        <v>0</v>
      </c>
      <c r="F187">
        <v>0</v>
      </c>
      <c r="G187">
        <v>0</v>
      </c>
      <c r="H187">
        <v>0</v>
      </c>
      <c r="I187">
        <v>0</v>
      </c>
      <c r="J187">
        <v>0</v>
      </c>
      <c r="K187" t="s">
        <v>244</v>
      </c>
    </row>
    <row r="188" spans="1:11" x14ac:dyDescent="0.2">
      <c r="A188">
        <v>120521.19</v>
      </c>
      <c r="B188">
        <v>288091.75</v>
      </c>
      <c r="C188">
        <v>183468.54</v>
      </c>
      <c r="D188">
        <v>132194.06</v>
      </c>
      <c r="E188">
        <v>158707.04</v>
      </c>
      <c r="F188">
        <v>125714.98</v>
      </c>
      <c r="G188">
        <v>130558.5</v>
      </c>
      <c r="H188">
        <v>76782.22</v>
      </c>
      <c r="I188">
        <v>109578.98</v>
      </c>
      <c r="J188">
        <v>231265.7</v>
      </c>
    </row>
    <row r="189" spans="1:11" x14ac:dyDescent="0.2">
      <c r="A189">
        <v>0</v>
      </c>
      <c r="B189">
        <v>0</v>
      </c>
      <c r="C189">
        <v>0</v>
      </c>
      <c r="D189">
        <v>0</v>
      </c>
      <c r="E189">
        <v>0</v>
      </c>
      <c r="F189">
        <v>0</v>
      </c>
      <c r="G189">
        <v>0</v>
      </c>
      <c r="H189">
        <v>0</v>
      </c>
      <c r="I189">
        <v>0</v>
      </c>
      <c r="J189">
        <v>0</v>
      </c>
    </row>
    <row r="190" spans="1:11" x14ac:dyDescent="0.2">
      <c r="A190">
        <v>3518987.31</v>
      </c>
      <c r="B190">
        <v>4601138.76</v>
      </c>
      <c r="C190">
        <v>5303992.43</v>
      </c>
      <c r="D190">
        <v>4790539.1500000004</v>
      </c>
      <c r="E190">
        <v>4199452.04</v>
      </c>
      <c r="F190">
        <v>4667586.82</v>
      </c>
      <c r="G190">
        <v>4649362.47</v>
      </c>
      <c r="H190">
        <v>4554654.99</v>
      </c>
      <c r="I190">
        <v>2809181.32</v>
      </c>
      <c r="J190">
        <v>5555444.6399999997</v>
      </c>
    </row>
    <row r="191" spans="1:11" x14ac:dyDescent="0.2">
      <c r="A191">
        <v>0</v>
      </c>
      <c r="B191">
        <v>0</v>
      </c>
      <c r="C191">
        <v>0</v>
      </c>
      <c r="D191">
        <v>0</v>
      </c>
      <c r="E191">
        <v>0</v>
      </c>
      <c r="F191">
        <v>0</v>
      </c>
      <c r="G191">
        <v>0</v>
      </c>
      <c r="H191">
        <v>0</v>
      </c>
      <c r="I191">
        <v>0</v>
      </c>
      <c r="J191">
        <v>137341.57</v>
      </c>
    </row>
    <row r="192" spans="1:11" x14ac:dyDescent="0.2">
      <c r="A192">
        <v>494483.26</v>
      </c>
      <c r="B192">
        <v>0</v>
      </c>
      <c r="C192">
        <v>0</v>
      </c>
      <c r="D192">
        <v>-1557.04</v>
      </c>
      <c r="E192">
        <v>0</v>
      </c>
      <c r="F192">
        <v>0</v>
      </c>
      <c r="G192">
        <v>0</v>
      </c>
      <c r="H192">
        <v>0</v>
      </c>
      <c r="I192">
        <v>0</v>
      </c>
      <c r="J192">
        <v>0</v>
      </c>
    </row>
    <row r="193" spans="1:10" x14ac:dyDescent="0.2">
      <c r="A193">
        <v>560139.54</v>
      </c>
      <c r="B193">
        <v>142240.12</v>
      </c>
      <c r="C193">
        <v>117976.28</v>
      </c>
      <c r="D193">
        <v>63672.47</v>
      </c>
      <c r="E193">
        <v>0</v>
      </c>
      <c r="F193">
        <v>0</v>
      </c>
      <c r="G193">
        <v>269027.51</v>
      </c>
      <c r="H193">
        <v>284069.61</v>
      </c>
      <c r="I193">
        <v>0</v>
      </c>
      <c r="J193">
        <v>0</v>
      </c>
    </row>
    <row r="194" spans="1:10" x14ac:dyDescent="0.2">
      <c r="A194">
        <v>0</v>
      </c>
      <c r="B194">
        <v>0</v>
      </c>
      <c r="C194">
        <v>0</v>
      </c>
      <c r="D194">
        <v>0</v>
      </c>
      <c r="E194">
        <v>0</v>
      </c>
      <c r="F194">
        <v>0</v>
      </c>
      <c r="G194">
        <v>0</v>
      </c>
      <c r="H194">
        <v>0</v>
      </c>
      <c r="I194">
        <v>0</v>
      </c>
      <c r="J194">
        <v>0</v>
      </c>
    </row>
    <row r="195" spans="1:10" x14ac:dyDescent="0.2">
      <c r="A195">
        <v>2827622.07</v>
      </c>
      <c r="B195">
        <v>2763376.53</v>
      </c>
      <c r="C195">
        <v>3155963.93</v>
      </c>
      <c r="D195">
        <v>2933241.8</v>
      </c>
      <c r="E195">
        <v>2285136.11</v>
      </c>
      <c r="F195">
        <v>2249976.2799999998</v>
      </c>
      <c r="G195">
        <v>2334365.91</v>
      </c>
      <c r="H195">
        <v>2227353.98</v>
      </c>
      <c r="I195">
        <v>1401903.26</v>
      </c>
      <c r="J195">
        <v>3995846.72</v>
      </c>
    </row>
    <row r="196" spans="1:10" x14ac:dyDescent="0.2">
      <c r="A196">
        <v>1866509.23</v>
      </c>
      <c r="B196">
        <v>2268094.1</v>
      </c>
      <c r="C196">
        <v>2449473.3199999998</v>
      </c>
      <c r="D196">
        <v>2051606.84</v>
      </c>
      <c r="E196">
        <v>2073022.97</v>
      </c>
      <c r="F196">
        <v>2543325.52</v>
      </c>
      <c r="G196">
        <v>2714582.57</v>
      </c>
      <c r="H196">
        <v>2688152.84</v>
      </c>
      <c r="I196">
        <v>1516857.04</v>
      </c>
      <c r="J196">
        <v>1928205.19</v>
      </c>
    </row>
    <row r="197" spans="1:10" x14ac:dyDescent="0.2">
      <c r="A197">
        <v>2315419.48</v>
      </c>
      <c r="B197">
        <v>2588522.21</v>
      </c>
      <c r="C197">
        <v>3526978.51</v>
      </c>
      <c r="D197">
        <v>3211348.5</v>
      </c>
      <c r="E197">
        <v>2490780.35</v>
      </c>
      <c r="F197">
        <v>2653895.89</v>
      </c>
      <c r="G197">
        <v>2749366.11</v>
      </c>
      <c r="H197">
        <v>2622780.73</v>
      </c>
      <c r="I197">
        <v>1966556.65</v>
      </c>
      <c r="J197">
        <v>4289733.07</v>
      </c>
    </row>
    <row r="198" spans="1:10" x14ac:dyDescent="0.2">
      <c r="A198">
        <v>22551.02</v>
      </c>
      <c r="B198">
        <v>8528.2800000000007</v>
      </c>
      <c r="C198">
        <v>1591.22</v>
      </c>
      <c r="D198">
        <v>1546.86</v>
      </c>
      <c r="E198">
        <v>23235.200000000001</v>
      </c>
      <c r="F198">
        <v>809.51</v>
      </c>
      <c r="G198">
        <v>5389.89</v>
      </c>
      <c r="H198">
        <v>5609.28</v>
      </c>
      <c r="I198">
        <v>600</v>
      </c>
      <c r="J198">
        <v>575</v>
      </c>
    </row>
    <row r="199" spans="1:10" x14ac:dyDescent="0.2">
      <c r="A199">
        <v>820036.19</v>
      </c>
      <c r="B199">
        <v>1018758.35</v>
      </c>
      <c r="C199">
        <v>1046153.82</v>
      </c>
      <c r="D199">
        <v>757586.14</v>
      </c>
      <c r="E199">
        <v>866376.8</v>
      </c>
      <c r="F199">
        <v>942843.6</v>
      </c>
      <c r="G199">
        <v>1098207.8400000001</v>
      </c>
      <c r="H199">
        <v>1152456.5900000001</v>
      </c>
      <c r="I199">
        <v>600684.93000000005</v>
      </c>
      <c r="J199">
        <v>861717.55</v>
      </c>
    </row>
    <row r="200" spans="1:10" x14ac:dyDescent="0.2">
      <c r="A200">
        <v>1536124.61</v>
      </c>
      <c r="B200">
        <v>1415661.79</v>
      </c>
      <c r="C200">
        <v>1030713.7</v>
      </c>
      <c r="D200">
        <v>1014367.14</v>
      </c>
      <c r="E200">
        <v>977766.73</v>
      </c>
      <c r="F200">
        <v>1195752.8</v>
      </c>
      <c r="G200">
        <v>1195984.6399999999</v>
      </c>
      <c r="H200">
        <v>1134660.22</v>
      </c>
      <c r="I200">
        <v>350918.72</v>
      </c>
      <c r="J200">
        <v>772026.29</v>
      </c>
    </row>
    <row r="201" spans="1:10" x14ac:dyDescent="0.2">
      <c r="A201">
        <v>0</v>
      </c>
      <c r="B201">
        <v>0</v>
      </c>
      <c r="C201">
        <v>0</v>
      </c>
      <c r="D201">
        <v>0</v>
      </c>
      <c r="E201">
        <v>0</v>
      </c>
      <c r="F201">
        <v>0</v>
      </c>
      <c r="G201">
        <v>0</v>
      </c>
      <c r="H201">
        <v>0</v>
      </c>
      <c r="I201">
        <v>0</v>
      </c>
      <c r="J201">
        <v>0</v>
      </c>
    </row>
    <row r="202" spans="1:10" x14ac:dyDescent="0.2">
      <c r="A202" s="35">
        <v>20043.5</v>
      </c>
      <c r="B202" s="35">
        <v>39793.279999999999</v>
      </c>
      <c r="C202" s="35">
        <v>8255.93</v>
      </c>
      <c r="D202" s="35">
        <v>6427.45</v>
      </c>
      <c r="E202" s="35">
        <v>15764.78</v>
      </c>
      <c r="F202" s="35">
        <v>3113.81</v>
      </c>
      <c r="G202" s="35">
        <v>11412.93</v>
      </c>
      <c r="H202" s="35">
        <v>4243.72</v>
      </c>
      <c r="I202" s="35">
        <v>2706.8</v>
      </c>
      <c r="J202" s="35">
        <v>159446.78</v>
      </c>
    </row>
    <row r="203" spans="1:10" x14ac:dyDescent="0.2">
      <c r="A203" s="35">
        <v>320831.02</v>
      </c>
      <c r="B203" s="35">
        <v>353932.61</v>
      </c>
      <c r="C203" s="35">
        <v>338311.34</v>
      </c>
      <c r="D203" s="35">
        <v>248476.31</v>
      </c>
      <c r="E203" s="35">
        <v>274777.99</v>
      </c>
      <c r="F203" s="35">
        <v>231610.26</v>
      </c>
      <c r="G203" s="35">
        <v>193477.23</v>
      </c>
      <c r="H203" s="35">
        <v>224541.32</v>
      </c>
      <c r="I203" s="35">
        <v>76573.16</v>
      </c>
      <c r="J203" s="35">
        <v>255849.94</v>
      </c>
    </row>
    <row r="204" spans="1:10" x14ac:dyDescent="0.2">
      <c r="A204" s="35">
        <v>0</v>
      </c>
      <c r="B204" s="35">
        <v>0</v>
      </c>
      <c r="C204" s="35">
        <v>1618.54</v>
      </c>
      <c r="D204" s="35">
        <v>12767.32</v>
      </c>
      <c r="E204" s="35">
        <v>368.34</v>
      </c>
      <c r="F204" s="35">
        <v>331.61</v>
      </c>
      <c r="G204" s="35">
        <v>1089.58</v>
      </c>
      <c r="H204" s="35">
        <v>0</v>
      </c>
      <c r="I204" s="35">
        <v>0</v>
      </c>
      <c r="J204" s="35">
        <v>43014.95</v>
      </c>
    </row>
    <row r="205" spans="1:10" x14ac:dyDescent="0.2">
      <c r="A205" s="35">
        <v>67183.02</v>
      </c>
      <c r="B205" s="35">
        <v>20994.26</v>
      </c>
      <c r="C205" s="35">
        <v>16234.18</v>
      </c>
      <c r="D205" s="35">
        <v>18379.43</v>
      </c>
      <c r="E205" s="35">
        <v>42115.86</v>
      </c>
      <c r="F205" s="35">
        <v>18143.98</v>
      </c>
      <c r="G205" s="35">
        <v>19479.599999999999</v>
      </c>
      <c r="H205" s="35">
        <v>27857.86</v>
      </c>
      <c r="I205" s="35">
        <v>15791.14</v>
      </c>
      <c r="J205" s="35">
        <v>37432.03</v>
      </c>
    </row>
    <row r="206" spans="1:10" x14ac:dyDescent="0.2">
      <c r="A206" s="35">
        <v>94443.01</v>
      </c>
      <c r="B206" s="35">
        <v>165020.68</v>
      </c>
      <c r="C206" s="35">
        <v>30831.8</v>
      </c>
      <c r="D206" s="35">
        <v>38092.29</v>
      </c>
      <c r="E206" s="35">
        <v>28265.26</v>
      </c>
      <c r="F206" s="35">
        <v>43160.58</v>
      </c>
      <c r="G206" s="35">
        <v>49295.839999999997</v>
      </c>
      <c r="H206" s="35">
        <v>40337.11</v>
      </c>
      <c r="I206" s="35">
        <v>31798.59</v>
      </c>
      <c r="J206" s="35">
        <v>25392.67</v>
      </c>
    </row>
    <row r="207" spans="1:10" x14ac:dyDescent="0.2">
      <c r="A207" s="35">
        <v>15195.64</v>
      </c>
      <c r="B207" s="35">
        <v>14527.42</v>
      </c>
      <c r="C207" s="35">
        <v>15080.4</v>
      </c>
      <c r="D207" s="35">
        <v>107292</v>
      </c>
      <c r="E207" s="35">
        <v>110294.57</v>
      </c>
      <c r="F207" s="35">
        <v>81745.94</v>
      </c>
      <c r="G207" s="35">
        <v>19722</v>
      </c>
      <c r="H207" s="35">
        <v>16800</v>
      </c>
      <c r="I207" s="35">
        <v>0</v>
      </c>
      <c r="J207" s="35">
        <v>0</v>
      </c>
    </row>
    <row r="208" spans="1:10" x14ac:dyDescent="0.2">
      <c r="A208" s="35">
        <v>111</v>
      </c>
      <c r="B208" s="35">
        <v>300</v>
      </c>
      <c r="C208" s="35">
        <v>200</v>
      </c>
      <c r="D208" s="35">
        <v>200</v>
      </c>
      <c r="E208" s="35">
        <v>200</v>
      </c>
      <c r="F208" s="35">
        <v>351.87</v>
      </c>
      <c r="G208" s="35">
        <v>3083.47</v>
      </c>
      <c r="H208" s="35">
        <v>200</v>
      </c>
      <c r="I208" s="35">
        <v>200</v>
      </c>
      <c r="J208" s="35">
        <v>11377.87</v>
      </c>
    </row>
    <row r="209" spans="1:11" x14ac:dyDescent="0.2">
      <c r="A209" s="20">
        <f>A210+A211</f>
        <v>311552.3</v>
      </c>
      <c r="B209" s="20">
        <f t="shared" ref="B209:J209" si="0">B210+B211</f>
        <v>359005.35000000003</v>
      </c>
      <c r="C209" s="20">
        <f t="shared" si="0"/>
        <v>316258.69</v>
      </c>
      <c r="D209" s="20">
        <f t="shared" si="0"/>
        <v>329082.52</v>
      </c>
      <c r="E209" s="20">
        <f t="shared" si="0"/>
        <v>383916.74</v>
      </c>
      <c r="F209" s="20">
        <f t="shared" si="0"/>
        <v>300529.98</v>
      </c>
      <c r="G209" s="20">
        <f t="shared" si="0"/>
        <v>204903.61</v>
      </c>
      <c r="H209" s="20">
        <f t="shared" si="0"/>
        <v>241151.84</v>
      </c>
      <c r="I209" s="20">
        <f t="shared" si="0"/>
        <v>72781.990000000005</v>
      </c>
      <c r="J209" s="20">
        <f t="shared" si="0"/>
        <v>185207.26</v>
      </c>
      <c r="K209" t="s">
        <v>312</v>
      </c>
    </row>
    <row r="210" spans="1:11" x14ac:dyDescent="0.2">
      <c r="A210" s="35">
        <v>293718</v>
      </c>
      <c r="B210" s="35">
        <v>343697.84</v>
      </c>
      <c r="C210" s="35">
        <v>302139.38</v>
      </c>
      <c r="D210" s="35">
        <v>224637.86</v>
      </c>
      <c r="E210" s="35">
        <v>274364.65000000002</v>
      </c>
      <c r="F210" s="35">
        <v>232706.16</v>
      </c>
      <c r="G210" s="35">
        <v>185271.22</v>
      </c>
      <c r="H210" s="35">
        <v>223449.81</v>
      </c>
      <c r="I210" s="35">
        <v>72781.990000000005</v>
      </c>
      <c r="J210" s="35">
        <v>185207.26</v>
      </c>
      <c r="K210" t="s">
        <v>312</v>
      </c>
    </row>
    <row r="211" spans="1:11" x14ac:dyDescent="0.2">
      <c r="A211" s="35">
        <v>17834.3</v>
      </c>
      <c r="B211" s="35">
        <v>15307.51</v>
      </c>
      <c r="C211" s="35">
        <v>14119.31</v>
      </c>
      <c r="D211" s="35">
        <v>104444.66</v>
      </c>
      <c r="E211" s="35">
        <v>109552.09</v>
      </c>
      <c r="F211" s="35">
        <v>67823.820000000007</v>
      </c>
      <c r="G211" s="35">
        <v>19632.39</v>
      </c>
      <c r="H211" s="35">
        <v>17702.03</v>
      </c>
      <c r="I211" s="35">
        <v>0</v>
      </c>
      <c r="J211" s="35">
        <v>0</v>
      </c>
      <c r="K211" t="s">
        <v>312</v>
      </c>
    </row>
    <row r="212" spans="1:11" x14ac:dyDescent="0.2">
      <c r="A212" s="35">
        <v>422368.42</v>
      </c>
      <c r="B212" s="35">
        <v>449861.73</v>
      </c>
      <c r="C212" s="35">
        <v>427121.2</v>
      </c>
      <c r="D212" s="35">
        <v>409309.54</v>
      </c>
      <c r="E212" s="35">
        <v>409286.04</v>
      </c>
      <c r="F212" s="35">
        <v>383328.11</v>
      </c>
      <c r="G212" s="35">
        <v>360817.65</v>
      </c>
      <c r="H212" s="35">
        <v>389206.03</v>
      </c>
      <c r="I212" s="35">
        <v>303884.86</v>
      </c>
      <c r="J212" s="35">
        <v>-10226.6</v>
      </c>
      <c r="K212" s="35" t="s">
        <v>315</v>
      </c>
    </row>
  </sheetData>
  <phoneticPr fontId="0" type="noConversion"/>
  <pageMargins left="0.78740157499999996" right="0.78740157499999996" top="0.984251969" bottom="0.984251969" header="0.4921259845" footer="0.4921259845"/>
  <pageSetup paperSize="9" orientation="portrait" horizontalDpi="0" r:id="rId1"/>
  <headerFooter alignWithMargins="0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1:O36"/>
  <sheetViews>
    <sheetView workbookViewId="0">
      <selection activeCell="D2" sqref="D2:M2"/>
    </sheetView>
  </sheetViews>
  <sheetFormatPr baseColWidth="10" defaultRowHeight="12.75" x14ac:dyDescent="0.2"/>
  <cols>
    <col min="1" max="1" width="0.85546875" customWidth="1"/>
    <col min="2" max="2" width="10.28515625" customWidth="1"/>
    <col min="3" max="3" width="8.7109375" customWidth="1"/>
    <col min="4" max="4" width="9.7109375" customWidth="1"/>
    <col min="5" max="5" width="8.5703125" customWidth="1"/>
    <col min="6" max="14" width="8.7109375" customWidth="1"/>
    <col min="15" max="15" width="10.7109375" customWidth="1"/>
  </cols>
  <sheetData>
    <row r="1" spans="1:15" ht="15.75" customHeight="1" x14ac:dyDescent="0.25">
      <c r="A1" t="s">
        <v>48</v>
      </c>
      <c r="C1" s="12">
        <f>Input!A3</f>
        <v>2024</v>
      </c>
      <c r="D1" s="36" t="s">
        <v>0</v>
      </c>
      <c r="E1" s="36"/>
      <c r="F1" s="36"/>
      <c r="G1" s="36"/>
      <c r="H1" s="36"/>
      <c r="I1" s="36"/>
      <c r="J1" s="36"/>
      <c r="K1" s="36"/>
      <c r="L1" s="36"/>
      <c r="M1" s="36"/>
      <c r="O1" s="3" t="s">
        <v>1</v>
      </c>
    </row>
    <row r="2" spans="1:15" ht="15.75" customHeight="1" x14ac:dyDescent="0.2">
      <c r="D2" s="37" t="str">
        <f>Kenndat!D2</f>
        <v>Produktionsgebiet 1: Alpenvorland</v>
      </c>
      <c r="E2" s="37"/>
      <c r="F2" s="37"/>
      <c r="G2" s="37"/>
      <c r="H2" s="37"/>
      <c r="I2" s="37"/>
      <c r="J2" s="37"/>
      <c r="K2" s="37"/>
      <c r="L2" s="37"/>
      <c r="M2" s="37"/>
    </row>
    <row r="3" spans="1:15" ht="15.75" customHeight="1" x14ac:dyDescent="0.2">
      <c r="D3" s="38" t="s">
        <v>2</v>
      </c>
      <c r="E3" s="38"/>
      <c r="F3" s="38"/>
      <c r="G3" s="38"/>
      <c r="H3" s="38"/>
      <c r="I3" s="38"/>
      <c r="J3" s="38"/>
      <c r="K3" s="38"/>
      <c r="L3" s="38"/>
      <c r="M3" s="38"/>
    </row>
    <row r="4" spans="1:15" ht="30" customHeight="1" x14ac:dyDescent="0.2"/>
    <row r="5" spans="1:15" x14ac:dyDescent="0.2">
      <c r="E5" s="3">
        <f>Input!A3</f>
        <v>2024</v>
      </c>
      <c r="F5" s="3">
        <f t="shared" ref="F5:N5" si="0">+E5-1</f>
        <v>2023</v>
      </c>
      <c r="G5" s="3">
        <f t="shared" si="0"/>
        <v>2022</v>
      </c>
      <c r="H5" s="3">
        <f t="shared" si="0"/>
        <v>2021</v>
      </c>
      <c r="I5" s="3">
        <f t="shared" si="0"/>
        <v>2020</v>
      </c>
      <c r="J5" s="3">
        <f t="shared" si="0"/>
        <v>2019</v>
      </c>
      <c r="K5" s="3">
        <f t="shared" si="0"/>
        <v>2018</v>
      </c>
      <c r="L5" s="3">
        <f t="shared" si="0"/>
        <v>2017</v>
      </c>
      <c r="M5" s="3">
        <f t="shared" si="0"/>
        <v>2016</v>
      </c>
      <c r="N5" s="3">
        <f t="shared" si="0"/>
        <v>2015</v>
      </c>
      <c r="O5" s="3" t="s">
        <v>16</v>
      </c>
    </row>
    <row r="6" spans="1:15" ht="7.5" customHeight="1" x14ac:dyDescent="0.2">
      <c r="E6" s="3"/>
      <c r="F6" s="3"/>
      <c r="G6" s="3"/>
      <c r="H6" s="3"/>
      <c r="I6" s="3"/>
      <c r="J6" s="3"/>
      <c r="K6" s="3"/>
      <c r="L6" s="3"/>
      <c r="M6" s="3"/>
      <c r="N6" s="3"/>
      <c r="O6" s="3"/>
    </row>
    <row r="7" spans="1:15" ht="13.5" customHeight="1" x14ac:dyDescent="0.2">
      <c r="A7" s="4" t="s">
        <v>3</v>
      </c>
      <c r="E7" s="3"/>
      <c r="F7" s="3"/>
      <c r="G7" s="3"/>
      <c r="H7" s="3"/>
      <c r="I7" s="3"/>
      <c r="J7" s="3"/>
      <c r="K7" s="3"/>
      <c r="L7" s="3"/>
      <c r="M7" s="3"/>
      <c r="N7" s="3"/>
      <c r="O7" s="3"/>
    </row>
    <row r="8" spans="1:15" ht="6" customHeight="1" x14ac:dyDescent="0.2">
      <c r="A8" s="4"/>
      <c r="E8" s="3"/>
      <c r="F8" s="3"/>
      <c r="G8" s="3"/>
      <c r="H8" s="3"/>
      <c r="I8" s="3"/>
      <c r="J8" s="3"/>
      <c r="K8" s="3"/>
      <c r="L8" s="3"/>
      <c r="M8" s="3"/>
      <c r="N8" s="3"/>
      <c r="O8" s="3"/>
    </row>
    <row r="9" spans="1:15" ht="12" customHeight="1" x14ac:dyDescent="0.2">
      <c r="B9" t="s">
        <v>179</v>
      </c>
      <c r="E9" s="6">
        <f>IF(Input!A170 = 0, "***", Input!A132/Input!A170)</f>
        <v>65.591016657472451</v>
      </c>
      <c r="F9" s="6">
        <f>IF(Input!B170 = 0, "***", Input!B132/Input!B170)</f>
        <v>67.762600024996146</v>
      </c>
      <c r="G9" s="6">
        <f>IF(Input!C170 = 0, "***", Input!C132/Input!C170)</f>
        <v>64.723929231607343</v>
      </c>
      <c r="H9" s="6">
        <f>IF(Input!D170 = 0, "***", Input!D132/Input!D170)</f>
        <v>60.468040972496325</v>
      </c>
      <c r="I9" s="6">
        <f>IF(Input!E170 = 0, "***", Input!E132/Input!E170)</f>
        <v>54.051924168340179</v>
      </c>
      <c r="J9" s="6">
        <f>IF(Input!F170 = 0, "***", Input!F132/Input!F170)</f>
        <v>55.715031778118188</v>
      </c>
      <c r="K9" s="6">
        <f>IF(Input!G170 = 0, "***", Input!G132/Input!G170)</f>
        <v>58.2026246665909</v>
      </c>
      <c r="L9" s="6">
        <f>IF(Input!H170 = 0, "***", Input!H132/Input!H170)</f>
        <v>57.606527629121125</v>
      </c>
      <c r="M9" s="6">
        <f>IF(Input!I170 = 0, "***", Input!I132/Input!I170)</f>
        <v>62.034299134445249</v>
      </c>
      <c r="N9" s="6">
        <f>IF(Input!J170 = 0, "***", Input!J132/Input!J170)</f>
        <v>65.048069267461287</v>
      </c>
      <c r="O9" s="6">
        <f>AVERAGE(E9:N9)</f>
        <v>61.120406353064922</v>
      </c>
    </row>
    <row r="10" spans="1:15" ht="12" customHeight="1" x14ac:dyDescent="0.2">
      <c r="B10" t="s">
        <v>180</v>
      </c>
      <c r="E10" s="6">
        <f>IF(Input!A171 = 0, "***", Input!A133/Input!A171)</f>
        <v>26.534285945403241</v>
      </c>
      <c r="F10" s="6">
        <f>IF(Input!B171 = 0, "***", Input!B133/Input!B171)</f>
        <v>-745.87362030905081</v>
      </c>
      <c r="G10" s="6">
        <f>IF(Input!C171 = 0, "***", Input!C133/Input!C171)</f>
        <v>40.207315429113009</v>
      </c>
      <c r="H10" s="6">
        <f>IF(Input!D171 = 0, "***", Input!D133/Input!D171)</f>
        <v>-30.342519897623085</v>
      </c>
      <c r="I10" s="6">
        <f>IF(Input!E171 = 0, "***", Input!E133/Input!E171)</f>
        <v>281.05465875567637</v>
      </c>
      <c r="J10" s="6">
        <f>IF(Input!F171 = 0, "***", Input!F133/Input!F171)</f>
        <v>30.379867774997248</v>
      </c>
      <c r="K10" s="6">
        <f>IF(Input!G171 = 0, "***", Input!G133/Input!G171)</f>
        <v>39.692990625194014</v>
      </c>
      <c r="L10" s="6">
        <f>IF(Input!H171 = 0, "***", Input!H133/Input!H171)</f>
        <v>29.291097933513026</v>
      </c>
      <c r="M10" s="6">
        <f>IF(Input!I171 = 0, "***", Input!I133/Input!I171)</f>
        <v>40.851486790992162</v>
      </c>
      <c r="N10" s="6">
        <f>IF(Input!J171 = 0, "***", Input!J133/Input!J171)</f>
        <v>29.338458969351834</v>
      </c>
      <c r="O10" s="6">
        <f>AVERAGE(E10:N10)</f>
        <v>-25.886597798243304</v>
      </c>
    </row>
    <row r="11" spans="1:15" ht="12" customHeight="1" x14ac:dyDescent="0.2">
      <c r="B11" t="s">
        <v>181</v>
      </c>
      <c r="E11" s="6">
        <f>IF(Input!A172 = 0, "***", Input!A134/Input!A172)</f>
        <v>67.044142017777332</v>
      </c>
      <c r="F11" s="6">
        <f>IF(Input!B172 = 0, "***", Input!B134/Input!B172)</f>
        <v>60.855051109678605</v>
      </c>
      <c r="G11" s="6">
        <f>IF(Input!C172 = 0, "***", Input!C134/Input!C172)</f>
        <v>41.74447265569281</v>
      </c>
      <c r="H11" s="6">
        <f>IF(Input!D172 = 0, "***", Input!D134/Input!D172)</f>
        <v>49.623427154915433</v>
      </c>
      <c r="I11" s="6">
        <f>IF(Input!E172 = 0, "***", Input!E134/Input!E172)</f>
        <v>38.195691202872531</v>
      </c>
      <c r="J11" s="6">
        <f>IF(Input!F172 = 0, "***", Input!F134/Input!F172)</f>
        <v>61.648722449775697</v>
      </c>
      <c r="K11" s="6">
        <f>IF(Input!G172 = 0, "***", Input!G134/Input!G172)</f>
        <v>48.762428687856556</v>
      </c>
      <c r="L11" s="6">
        <f>IF(Input!H172 = 0, "***", Input!H134/Input!H172)</f>
        <v>38.73838793570205</v>
      </c>
      <c r="M11" s="6">
        <f>IF(Input!I172 = 0, "***", Input!I134/Input!I172)</f>
        <v>56.035628105039031</v>
      </c>
      <c r="N11" s="6">
        <f>IF(Input!J172 = 0, "***", Input!J134/Input!J172)</f>
        <v>52.133632894250887</v>
      </c>
      <c r="O11" s="6">
        <f>AVERAGE(E11:N11)</f>
        <v>51.478158421356099</v>
      </c>
    </row>
    <row r="12" spans="1:15" ht="12" customHeight="1" x14ac:dyDescent="0.2">
      <c r="B12" t="s">
        <v>182</v>
      </c>
      <c r="E12" s="6">
        <f>IF(Input!A173 = 0, "***", Input!A135/Input!A173)</f>
        <v>-52.466502463054177</v>
      </c>
      <c r="F12" s="6">
        <f>IF(Input!B173 = 0, "***", Input!B135/Input!B173)</f>
        <v>56.397304702790358</v>
      </c>
      <c r="G12" s="6">
        <f>IF(Input!C173 = 0, "***", Input!C135/Input!C173)</f>
        <v>52.337072503419975</v>
      </c>
      <c r="H12" s="6">
        <f>IF(Input!D173 = 0, "***", Input!D135/Input!D173)</f>
        <v>57.30055312750072</v>
      </c>
      <c r="I12" s="6" t="str">
        <f>IF(Input!E173 = 0, "***", Input!E135/Input!E173)</f>
        <v>***</v>
      </c>
      <c r="J12" s="6" t="str">
        <f>IF(Input!F173 = 0, "***", Input!F135/Input!F173)</f>
        <v>***</v>
      </c>
      <c r="K12" s="6" t="str">
        <f>IF(Input!G173 = 0, "***", Input!G135/Input!G173)</f>
        <v>***</v>
      </c>
      <c r="L12" s="6">
        <f>IF(Input!H173 = 0, "***", Input!H135/Input!H173)</f>
        <v>28.022083333333331</v>
      </c>
      <c r="M12" s="6" t="str">
        <f>IF(Input!I173 = 0, "***", Input!I135/Input!I173)</f>
        <v>***</v>
      </c>
      <c r="N12" s="6" t="str">
        <f>IF(Input!J173 = 0, "***", Input!J135/Input!J173)</f>
        <v>***</v>
      </c>
      <c r="O12" s="6">
        <f>AVERAGE(E12:N12)</f>
        <v>28.318102240798044</v>
      </c>
    </row>
    <row r="13" spans="1:15" x14ac:dyDescent="0.2">
      <c r="B13" s="19"/>
      <c r="E13" s="6"/>
      <c r="F13" s="6"/>
      <c r="G13" s="6"/>
      <c r="H13" s="6"/>
      <c r="I13" s="6"/>
      <c r="J13" s="6"/>
      <c r="K13" s="6"/>
      <c r="L13" s="6"/>
      <c r="M13" s="6"/>
      <c r="N13" s="6"/>
      <c r="O13" s="6"/>
    </row>
    <row r="14" spans="1:15" ht="13.5" customHeight="1" x14ac:dyDescent="0.2">
      <c r="A14" s="21" t="s">
        <v>4</v>
      </c>
      <c r="B14" s="5"/>
      <c r="C14" s="5"/>
      <c r="D14" s="5"/>
      <c r="E14" s="8"/>
      <c r="F14" s="8"/>
      <c r="G14" s="8"/>
      <c r="H14" s="8"/>
      <c r="I14" s="8"/>
      <c r="J14" s="8"/>
      <c r="K14" s="8"/>
      <c r="L14" s="8"/>
      <c r="M14" s="8"/>
      <c r="N14" s="8"/>
      <c r="O14" s="8"/>
    </row>
    <row r="15" spans="1:15" ht="6" customHeight="1" x14ac:dyDescent="0.2">
      <c r="A15" s="21"/>
      <c r="B15" s="5"/>
      <c r="C15" s="5"/>
      <c r="D15" s="5"/>
      <c r="E15" s="8"/>
      <c r="F15" s="8"/>
      <c r="G15" s="8"/>
      <c r="H15" s="8"/>
      <c r="I15" s="8"/>
      <c r="J15" s="8"/>
      <c r="K15" s="8"/>
      <c r="L15" s="8"/>
      <c r="M15" s="8"/>
      <c r="N15" s="8"/>
      <c r="O15" s="8"/>
    </row>
    <row r="16" spans="1:15" ht="12" customHeight="1" x14ac:dyDescent="0.2">
      <c r="B16" t="s">
        <v>231</v>
      </c>
      <c r="E16" s="6">
        <f>IF(Input!A174 = 0, "***", Input!A188/Input!A174)</f>
        <v>49.797617571956273</v>
      </c>
      <c r="F16" s="6">
        <f>IF(Input!B174 = 0, "***", Input!B188/Input!B174)</f>
        <v>38.890430061367915</v>
      </c>
      <c r="G16" s="6">
        <f>IF(Input!C174 = 0, "***", Input!C188/Input!C174)</f>
        <v>27.270780628034117</v>
      </c>
      <c r="H16" s="6">
        <f>IF(Input!D174 = 0, "***", Input!D188/Input!D174)</f>
        <v>40.965636281938053</v>
      </c>
      <c r="I16" s="6">
        <f>IF(Input!E174 = 0, "***", Input!E188/Input!E174)</f>
        <v>42.026681919530553</v>
      </c>
      <c r="J16" s="6">
        <f>IF(Input!F174 = 0, "***", Input!F188/Input!F174)</f>
        <v>27.763173237458371</v>
      </c>
      <c r="K16" s="6">
        <f>IF(Input!G174 = 0, "***", Input!G188/Input!G174)</f>
        <v>37.732689034100268</v>
      </c>
      <c r="L16" s="6">
        <f>IF(Input!H174 = 0, "***", Input!H188/Input!H174)</f>
        <v>37.420059457088549</v>
      </c>
      <c r="M16" s="6">
        <f>IF(Input!I174 = 0, "***", Input!I188/Input!I174)</f>
        <v>37.903486682808712</v>
      </c>
      <c r="N16" s="6">
        <f>IF(Input!J174 = 0, "***", Input!J188/Input!J174)</f>
        <v>34.097161097227442</v>
      </c>
      <c r="O16" s="6">
        <f t="shared" ref="O16:O22" si="1">AVERAGE(E16:N16)</f>
        <v>37.386771597151025</v>
      </c>
    </row>
    <row r="17" spans="1:15" ht="12" customHeight="1" x14ac:dyDescent="0.2">
      <c r="B17" t="s">
        <v>232</v>
      </c>
      <c r="E17" s="6" t="str">
        <f>IF(Input!A175 = 0, "***", Input!A189/Input!A175)</f>
        <v>***</v>
      </c>
      <c r="F17" s="6" t="str">
        <f>IF(Input!B175 = 0, "***", Input!B189/Input!B175)</f>
        <v>***</v>
      </c>
      <c r="G17" s="6" t="str">
        <f>IF(Input!C175 = 0, "***", Input!C189/Input!C175)</f>
        <v>***</v>
      </c>
      <c r="H17" s="6" t="str">
        <f>IF(Input!D175 = 0, "***", Input!D189/Input!D175)</f>
        <v>***</v>
      </c>
      <c r="I17" s="6" t="str">
        <f>IF(Input!E175 = 0, "***", Input!E189/Input!E175)</f>
        <v>***</v>
      </c>
      <c r="J17" s="6" t="str">
        <f>IF(Input!F175 = 0, "***", Input!F189/Input!F175)</f>
        <v>***</v>
      </c>
      <c r="K17" s="6" t="str">
        <f>IF(Input!G175 = 0, "***", Input!G189/Input!G175)</f>
        <v>***</v>
      </c>
      <c r="L17" s="6" t="str">
        <f>IF(Input!H175 = 0, "***", Input!H189/Input!H175)</f>
        <v>***</v>
      </c>
      <c r="M17" s="6" t="str">
        <f>IF(Input!I175 = 0, "***", Input!I189/Input!I175)</f>
        <v>***</v>
      </c>
      <c r="N17" s="6" t="str">
        <f>IF(Input!J175 = 0, "***", Input!J189/Input!J175)</f>
        <v>***</v>
      </c>
      <c r="O17" s="6" t="e">
        <f t="shared" si="1"/>
        <v>#DIV/0!</v>
      </c>
    </row>
    <row r="18" spans="1:15" ht="12" customHeight="1" x14ac:dyDescent="0.2">
      <c r="B18" t="s">
        <v>233</v>
      </c>
      <c r="E18" s="6">
        <f>IF(Input!A176 = 0, "***", Input!A190/Input!A176)</f>
        <v>62.275565326666516</v>
      </c>
      <c r="F18" s="6">
        <f>IF(Input!B176 = 0, "***", Input!B190/Input!B176)</f>
        <v>70.825617073246192</v>
      </c>
      <c r="G18" s="6">
        <f>IF(Input!C176 = 0, "***", Input!C190/Input!C176)</f>
        <v>67.902688932396401</v>
      </c>
      <c r="H18" s="6">
        <f>IF(Input!D176 = 0, "***", Input!D190/Input!D176)</f>
        <v>61.411814739227864</v>
      </c>
      <c r="I18" s="6">
        <f>IF(Input!E176 = 0, "***", Input!E190/Input!E176)</f>
        <v>54.642812400540357</v>
      </c>
      <c r="J18" s="6">
        <f>IF(Input!F176 = 0, "***", Input!F190/Input!F176)</f>
        <v>57.26794729361071</v>
      </c>
      <c r="K18" s="6">
        <f>IF(Input!G176 = 0, "***", Input!G190/Input!G176)</f>
        <v>59.554764784704339</v>
      </c>
      <c r="L18" s="6">
        <f>IF(Input!H176 = 0, "***", Input!H190/Input!H176)</f>
        <v>58.758300996618857</v>
      </c>
      <c r="M18" s="6">
        <f>IF(Input!I176 = 0, "***", Input!I190/Input!I176)</f>
        <v>63.614067561523783</v>
      </c>
      <c r="N18" s="6">
        <f>IF(Input!J176 = 0, "***", Input!J190/Input!J176)</f>
        <v>69.765925984716517</v>
      </c>
      <c r="O18" s="6">
        <f t="shared" si="1"/>
        <v>62.601950509325164</v>
      </c>
    </row>
    <row r="19" spans="1:15" ht="12" customHeight="1" x14ac:dyDescent="0.2">
      <c r="B19" t="s">
        <v>234</v>
      </c>
      <c r="E19" s="6" t="str">
        <f>IF(Input!A177 = 0, "***", Input!A191/Input!A177)</f>
        <v>***</v>
      </c>
      <c r="F19" s="6" t="str">
        <f>IF(Input!B177 = 0, "***", Input!B191/Input!B177)</f>
        <v>***</v>
      </c>
      <c r="G19" s="6" t="str">
        <f>IF(Input!C177 = 0, "***", Input!C191/Input!C177)</f>
        <v>***</v>
      </c>
      <c r="H19" s="6" t="str">
        <f>IF(Input!D177 = 0, "***", Input!D191/Input!D177)</f>
        <v>***</v>
      </c>
      <c r="I19" s="6" t="str">
        <f>IF(Input!E177 = 0, "***", Input!E191/Input!E177)</f>
        <v>***</v>
      </c>
      <c r="J19" s="6" t="str">
        <f>IF(Input!F177 = 0, "***", Input!F191/Input!F177)</f>
        <v>***</v>
      </c>
      <c r="K19" s="6" t="str">
        <f>IF(Input!G177 = 0, "***", Input!G191/Input!G177)</f>
        <v>***</v>
      </c>
      <c r="L19" s="6" t="str">
        <f>IF(Input!H177 = 0, "***", Input!H191/Input!H177)</f>
        <v>***</v>
      </c>
      <c r="M19" s="6" t="str">
        <f>IF(Input!I177 = 0, "***", Input!I191/Input!I177)</f>
        <v>***</v>
      </c>
      <c r="N19" s="6">
        <f>IF(Input!J177 = 0, "***", Input!J191/Input!J177)</f>
        <v>29.475033211076511</v>
      </c>
      <c r="O19" s="6">
        <f t="shared" si="1"/>
        <v>29.475033211076511</v>
      </c>
    </row>
    <row r="20" spans="1:15" ht="12" customHeight="1" x14ac:dyDescent="0.2">
      <c r="B20" t="s">
        <v>235</v>
      </c>
      <c r="E20" s="6">
        <f>IF(Input!A178 = 0, "***", Input!A192/Input!A178)</f>
        <v>73.21209276708143</v>
      </c>
      <c r="F20" s="6" t="str">
        <f>IF(Input!B178 = 0, "***", Input!B192/Input!B178)</f>
        <v>***</v>
      </c>
      <c r="G20" s="6" t="str">
        <f>IF(Input!C178 = 0, "***", Input!C192/Input!C178)</f>
        <v>***</v>
      </c>
      <c r="H20" s="6" t="str">
        <f>IF(Input!D178 = 0, "***", Input!D192/Input!D178)</f>
        <v>***</v>
      </c>
      <c r="I20" s="6" t="str">
        <f>IF(Input!E178 = 0, "***", Input!E192/Input!E178)</f>
        <v>***</v>
      </c>
      <c r="J20" s="6" t="str">
        <f>IF(Input!F178 = 0, "***", Input!F192/Input!F178)</f>
        <v>***</v>
      </c>
      <c r="K20" s="6" t="str">
        <f>IF(Input!G178 = 0, "***", Input!G192/Input!G178)</f>
        <v>***</v>
      </c>
      <c r="L20" s="6" t="str">
        <f>IF(Input!H178 = 0, "***", Input!H192/Input!H178)</f>
        <v>***</v>
      </c>
      <c r="M20" s="6" t="str">
        <f>IF(Input!I178 = 0, "***", Input!I192/Input!I178)</f>
        <v>***</v>
      </c>
      <c r="N20" s="6" t="str">
        <f>IF(Input!J178 = 0, "***", Input!J192/Input!J178)</f>
        <v>***</v>
      </c>
      <c r="O20" s="6">
        <f t="shared" si="1"/>
        <v>73.21209276708143</v>
      </c>
    </row>
    <row r="21" spans="1:15" ht="12" customHeight="1" x14ac:dyDescent="0.2">
      <c r="B21" t="s">
        <v>236</v>
      </c>
      <c r="E21" s="6">
        <f>IF(Input!A179 = 0, "***", Input!A193/Input!A179)</f>
        <v>95.17070220180338</v>
      </c>
      <c r="F21" s="6">
        <f>IF(Input!B179 = 0, "***", Input!B193/Input!B179)</f>
        <v>75.686611718005892</v>
      </c>
      <c r="G21" s="6">
        <f>IF(Input!C179 = 0, "***", Input!C193/Input!C179)</f>
        <v>66.804235560588907</v>
      </c>
      <c r="H21" s="6">
        <f>IF(Input!D179 = 0, "***", Input!D193/Input!D179)</f>
        <v>52.884550536134022</v>
      </c>
      <c r="I21" s="6" t="str">
        <f>IF(Input!E179 = 0, "***", Input!E193/Input!E179)</f>
        <v>***</v>
      </c>
      <c r="J21" s="6" t="str">
        <f>IF(Input!F179 = 0, "***", Input!F193/Input!F179)</f>
        <v>***</v>
      </c>
      <c r="K21" s="6">
        <f>IF(Input!G179 = 0, "***", Input!G193/Input!G179)</f>
        <v>51.547712205403336</v>
      </c>
      <c r="L21" s="6">
        <f>IF(Input!H179 = 0, "***", Input!H193/Input!H179)</f>
        <v>49.300522388059697</v>
      </c>
      <c r="M21" s="6" t="str">
        <f>IF(Input!I179 = 0, "***", Input!I193/Input!I179)</f>
        <v>***</v>
      </c>
      <c r="N21" s="6" t="str">
        <f>IF(Input!J179 = 0, "***", Input!J193/Input!J179)</f>
        <v>***</v>
      </c>
      <c r="O21" s="6">
        <f t="shared" si="1"/>
        <v>65.232389101665873</v>
      </c>
    </row>
    <row r="22" spans="1:15" ht="12" customHeight="1" x14ac:dyDescent="0.2">
      <c r="B22" t="s">
        <v>237</v>
      </c>
      <c r="E22" s="6" t="str">
        <f>IF(Input!A180 = 0, "***", Input!A194/Input!A180)</f>
        <v>***</v>
      </c>
      <c r="F22" s="6" t="str">
        <f>IF(Input!B180 = 0, "***", Input!B194/Input!B180)</f>
        <v>***</v>
      </c>
      <c r="G22" s="6" t="str">
        <f>IF(Input!C180 = 0, "***", Input!C194/Input!C180)</f>
        <v>***</v>
      </c>
      <c r="H22" s="6" t="str">
        <f>IF(Input!D180 = 0, "***", Input!D194/Input!D180)</f>
        <v>***</v>
      </c>
      <c r="I22" s="6" t="str">
        <f>IF(Input!E180 = 0, "***", Input!E194/Input!E180)</f>
        <v>***</v>
      </c>
      <c r="J22" s="6" t="str">
        <f>IF(Input!F180 = 0, "***", Input!F194/Input!F180)</f>
        <v>***</v>
      </c>
      <c r="K22" s="6" t="str">
        <f>IF(Input!G180 = 0, "***", Input!G194/Input!G180)</f>
        <v>***</v>
      </c>
      <c r="L22" s="6" t="str">
        <f>IF(Input!H180 = 0, "***", Input!H194/Input!H180)</f>
        <v>***</v>
      </c>
      <c r="M22" s="6" t="str">
        <f>IF(Input!I180 = 0, "***", Input!I194/Input!I180)</f>
        <v>***</v>
      </c>
      <c r="N22" s="6" t="str">
        <f>IF(Input!J180 = 0, "***", Input!J194/Input!J180)</f>
        <v>***</v>
      </c>
      <c r="O22" s="6" t="e">
        <f t="shared" si="1"/>
        <v>#DIV/0!</v>
      </c>
    </row>
    <row r="23" spans="1:15" x14ac:dyDescent="0.2">
      <c r="E23" s="6"/>
      <c r="F23" s="6"/>
      <c r="G23" s="6"/>
      <c r="H23" s="6"/>
      <c r="I23" s="6"/>
      <c r="J23" s="6"/>
      <c r="K23" s="6"/>
      <c r="L23" s="6"/>
      <c r="M23" s="6"/>
      <c r="N23" s="6"/>
      <c r="O23" s="6"/>
    </row>
    <row r="24" spans="1:15" ht="13.5" customHeight="1" x14ac:dyDescent="0.2">
      <c r="A24" s="4" t="s">
        <v>5</v>
      </c>
      <c r="E24" s="8"/>
      <c r="F24" s="8"/>
      <c r="G24" s="8"/>
      <c r="H24" s="8"/>
      <c r="I24" s="8"/>
      <c r="J24" s="8"/>
      <c r="K24" s="8"/>
      <c r="L24" s="8"/>
      <c r="M24" s="8"/>
      <c r="N24" s="8"/>
      <c r="O24" s="8"/>
    </row>
    <row r="25" spans="1:15" ht="6.75" customHeight="1" x14ac:dyDescent="0.2">
      <c r="A25" s="4"/>
      <c r="E25" s="8"/>
      <c r="F25" s="8"/>
      <c r="G25" s="8"/>
      <c r="H25" s="8"/>
      <c r="I25" s="8"/>
      <c r="J25" s="8"/>
      <c r="K25" s="8"/>
      <c r="L25" s="8"/>
      <c r="M25" s="8"/>
      <c r="N25" s="8"/>
      <c r="O25" s="8"/>
    </row>
    <row r="26" spans="1:15" ht="12" customHeight="1" x14ac:dyDescent="0.2">
      <c r="B26" t="s">
        <v>238</v>
      </c>
      <c r="E26" s="6">
        <f>IF(Input!A181 = 0, "***", Input!A195/Input!A181)</f>
        <v>62.779823180573835</v>
      </c>
      <c r="F26" s="6">
        <f>IF(Input!B181 = 0, "***", Input!B195/Input!B181)</f>
        <v>70.121510388648105</v>
      </c>
      <c r="G26" s="6">
        <f>IF(Input!C181 = 0, "***", Input!C195/Input!C181)</f>
        <v>82.433367036672038</v>
      </c>
      <c r="H26" s="6">
        <f>IF(Input!D181 = 0, "***", Input!D195/Input!D181)</f>
        <v>66.849089851626857</v>
      </c>
      <c r="I26" s="6">
        <f>IF(Input!E181 = 0, "***", Input!E195/Input!E181)</f>
        <v>49.722303008596761</v>
      </c>
      <c r="J26" s="6">
        <f>IF(Input!F181 = 0, "***", Input!F195/Input!F181)</f>
        <v>53.261704974861388</v>
      </c>
      <c r="K26" s="6">
        <f>IF(Input!G181 = 0, "***", Input!G195/Input!G181)</f>
        <v>60.038839348750152</v>
      </c>
      <c r="L26" s="6">
        <f>IF(Input!H181 = 0, "***", Input!H195/Input!H181)</f>
        <v>61.654741262860462</v>
      </c>
      <c r="M26" s="6">
        <f>IF(Input!I181 = 0, "***", Input!I195/Input!I181)</f>
        <v>68.734933042554374</v>
      </c>
      <c r="N26" s="6">
        <f>IF(Input!J181 = 0, "***", Input!J195/Input!J181)</f>
        <v>75.906317828676904</v>
      </c>
      <c r="O26" s="6">
        <f>AVERAGE(E26:N26)</f>
        <v>65.150262992382096</v>
      </c>
    </row>
    <row r="27" spans="1:15" ht="12" customHeight="1" x14ac:dyDescent="0.2">
      <c r="B27" t="s">
        <v>239</v>
      </c>
      <c r="E27" s="6">
        <f>IF(Input!A182 = 0, "***", Input!A196/Input!A182)</f>
        <v>70.36426493173964</v>
      </c>
      <c r="F27" s="6">
        <f>IF(Input!B182 = 0, "***", Input!B196/Input!B182)</f>
        <v>65.094609999586723</v>
      </c>
      <c r="G27" s="6">
        <f>IF(Input!C182 = 0, "***", Input!C196/Input!C182)</f>
        <v>50.692427820191504</v>
      </c>
      <c r="H27" s="6">
        <f>IF(Input!D182 = 0, "***", Input!D196/Input!D182)</f>
        <v>53.20670304710837</v>
      </c>
      <c r="I27" s="6">
        <f>IF(Input!E182 = 0, "***", Input!E196/Input!E182)</f>
        <v>59.791006932276545</v>
      </c>
      <c r="J27" s="6">
        <f>IF(Input!F182 = 0, "***", Input!F196/Input!F182)</f>
        <v>58.081803790386012</v>
      </c>
      <c r="K27" s="6">
        <f>IF(Input!G182 = 0, "***", Input!G196/Input!G182)</f>
        <v>56.711117819534813</v>
      </c>
      <c r="L27" s="6">
        <f>IF(Input!H182 = 0, "***", Input!H196/Input!H182)</f>
        <v>54.634199104724836</v>
      </c>
      <c r="M27" s="6">
        <f>IF(Input!I182 = 0, "***", Input!I196/Input!I182)</f>
        <v>56.907121226218315</v>
      </c>
      <c r="N27" s="6">
        <f>IF(Input!J182 = 0, "***", Input!J196/Input!J182)</f>
        <v>50.174360507612654</v>
      </c>
      <c r="O27" s="6">
        <f>AVERAGE(E27:N27)</f>
        <v>57.565761517937936</v>
      </c>
    </row>
    <row r="28" spans="1:15" x14ac:dyDescent="0.2">
      <c r="E28" s="6"/>
      <c r="F28" s="6"/>
      <c r="G28" s="6"/>
      <c r="H28" s="6"/>
      <c r="I28" s="6"/>
      <c r="J28" s="6"/>
      <c r="K28" s="6"/>
      <c r="L28" s="6"/>
      <c r="M28" s="6"/>
      <c r="N28" s="6"/>
      <c r="O28" s="6"/>
    </row>
    <row r="29" spans="1:15" ht="13.5" customHeight="1" x14ac:dyDescent="0.2">
      <c r="A29" s="4" t="s">
        <v>6</v>
      </c>
      <c r="E29" s="8"/>
      <c r="F29" s="8"/>
      <c r="G29" s="8"/>
      <c r="H29" s="8"/>
      <c r="I29" s="8"/>
      <c r="J29" s="8"/>
      <c r="K29" s="8"/>
      <c r="L29" s="8"/>
      <c r="M29" s="8"/>
      <c r="N29" s="8"/>
      <c r="O29" s="8"/>
    </row>
    <row r="30" spans="1:15" ht="6" customHeight="1" x14ac:dyDescent="0.2">
      <c r="A30" s="4"/>
      <c r="E30" s="8"/>
      <c r="F30" s="8"/>
      <c r="G30" s="8"/>
      <c r="H30" s="8"/>
      <c r="I30" s="8"/>
      <c r="J30" s="8"/>
      <c r="K30" s="8"/>
      <c r="L30" s="8"/>
      <c r="M30" s="8"/>
      <c r="N30" s="8"/>
      <c r="O30" s="8"/>
    </row>
    <row r="31" spans="1:15" ht="12" customHeight="1" x14ac:dyDescent="0.2">
      <c r="B31" t="s">
        <v>293</v>
      </c>
      <c r="E31" s="6">
        <f>IF(Input!A183 = 0, "***", Input!A197/Input!A183)</f>
        <v>102.79140100384366</v>
      </c>
      <c r="F31" s="6">
        <f>IF(Input!B183 = 0, "***", Input!B197/Input!B183)</f>
        <v>108.92239540531112</v>
      </c>
      <c r="G31" s="6">
        <f>IF(Input!C183 = 0, "***", Input!C197/Input!C183)</f>
        <v>107.98944624070739</v>
      </c>
      <c r="H31" s="6">
        <f>IF(Input!D183 = 0, "***", Input!D197/Input!D183)</f>
        <v>99.675693409609607</v>
      </c>
      <c r="I31" s="6">
        <f>IF(Input!E183 = 0, "***", Input!E197/Input!E183)</f>
        <v>76.075988319122175</v>
      </c>
      <c r="J31" s="6">
        <f>IF(Input!F183 = 0, "***", Input!F197/Input!F183)</f>
        <v>81.078338067162022</v>
      </c>
      <c r="K31" s="6">
        <f>IF(Input!G183 = 0, "***", Input!G197/Input!G183)</f>
        <v>86.940244051679073</v>
      </c>
      <c r="L31" s="6">
        <f>IF(Input!H183 = 0, "***", Input!H197/Input!H183)</f>
        <v>87.448440283526011</v>
      </c>
      <c r="M31" s="6">
        <f>IF(Input!I183 = 0, "***", Input!I197/Input!I183)</f>
        <v>90.307157181359003</v>
      </c>
      <c r="N31" s="6">
        <f>IF(Input!J183 = 0, "***", Input!J197/Input!J183)</f>
        <v>92.813295628741031</v>
      </c>
      <c r="O31" s="6">
        <f t="shared" ref="O31:O36" si="2">AVERAGE(E31:N31)</f>
        <v>93.404239959106107</v>
      </c>
    </row>
    <row r="32" spans="1:15" ht="12" customHeight="1" x14ac:dyDescent="0.2">
      <c r="B32" t="s">
        <v>7</v>
      </c>
      <c r="E32" s="6">
        <f>IF(Input!A184 = 0, "***", Input!A198/Input!A184)</f>
        <v>92.105129880738446</v>
      </c>
      <c r="F32" s="6">
        <f>IF(Input!B184 = 0, "***", Input!B198/Input!B184)</f>
        <v>55.970860405591651</v>
      </c>
      <c r="G32" s="6">
        <f>IF(Input!C184 = 0, "***", Input!C198/Input!C184)</f>
        <v>69.093356491532788</v>
      </c>
      <c r="H32" s="6">
        <f>IF(Input!D184 = 0, "***", Input!D198/Input!D184)</f>
        <v>47.131627056672755</v>
      </c>
      <c r="I32" s="6">
        <f>IF(Input!E184 = 0, "***", Input!E198/Input!E184)</f>
        <v>150.049725540846</v>
      </c>
      <c r="J32" s="6">
        <f>IF(Input!F184 = 0, "***", Input!F198/Input!F184)</f>
        <v>36.480847228481295</v>
      </c>
      <c r="K32" s="6">
        <f>IF(Input!G184 = 0, "***", Input!G198/Input!G184)</f>
        <v>39.353752920560751</v>
      </c>
      <c r="L32" s="6">
        <f>IF(Input!H184 = 0, "***", Input!H198/Input!H184)</f>
        <v>43.088646489476105</v>
      </c>
      <c r="M32" s="6">
        <f>IF(Input!I184 = 0, "***", Input!I198/Input!I184)</f>
        <v>81.521739130434781</v>
      </c>
      <c r="N32" s="6">
        <f>IF(Input!J184 = 0, "***", Input!J198/Input!J184)</f>
        <v>83.333333333333329</v>
      </c>
      <c r="O32" s="6">
        <f t="shared" si="2"/>
        <v>69.812901847766796</v>
      </c>
    </row>
    <row r="33" spans="2:15" ht="12" customHeight="1" x14ac:dyDescent="0.2">
      <c r="B33" s="14" t="s">
        <v>294</v>
      </c>
      <c r="E33" s="15">
        <f>IF((Input!A183+Input!A184) = 0, "***", (Input!A197+Input!A198)/(Input!A183+Input!A184))</f>
        <v>102.67649556922056</v>
      </c>
      <c r="F33" s="15">
        <f>IF((Input!B183+Input!B184) = 0, "***", (Input!B197+Input!B198)/(Input!B183+Input!B184))</f>
        <v>108.5850555248942</v>
      </c>
      <c r="G33" s="15">
        <f>IF((Input!C183+Input!C184) = 0, "***", (Input!C197+Input!C198)/(Input!C183+Input!C184))</f>
        <v>107.96203856204811</v>
      </c>
      <c r="H33" s="15">
        <f>IF((Input!D183+Input!D184) = 0, "***", (Input!D197+Input!D198)/(Input!D183+Input!D184))</f>
        <v>99.622221967275834</v>
      </c>
      <c r="I33" s="15">
        <f>IF((Input!E183+Input!E184) = 0, "***", (Input!E197+Input!E198)/(Input!E183+Input!E184))</f>
        <v>76.424206746568089</v>
      </c>
      <c r="J33" s="15">
        <f>IF((Input!F183+Input!F184) = 0, "***", (Input!F197+Input!F198)/(Input!F183+Input!F184))</f>
        <v>81.048125031293239</v>
      </c>
      <c r="K33" s="15">
        <f>IF((Input!G183+Input!G184) = 0, "***", (Input!G197+Input!G198)/(Input!G183+Input!G184))</f>
        <v>86.735038612317965</v>
      </c>
      <c r="L33" s="15">
        <f>IF((Input!H183+Input!H184) = 0, "***", (Input!H197+Input!H198)/(Input!H183+Input!H184))</f>
        <v>87.256731100251002</v>
      </c>
      <c r="M33" s="15">
        <f>IF((Input!I183+Input!I184) = 0, "***", (Input!I197+Input!I198)/(Input!I183+Input!I184))</f>
        <v>90.304188871755755</v>
      </c>
      <c r="N33" s="15">
        <f>IF((Input!J183+Input!J184) = 0, "***", (Input!J197+Input!J198)/(Input!J183+Input!J184))</f>
        <v>92.811880581968751</v>
      </c>
      <c r="O33" s="15">
        <f t="shared" si="2"/>
        <v>93.342598256759359</v>
      </c>
    </row>
    <row r="34" spans="2:15" ht="12" customHeight="1" x14ac:dyDescent="0.2">
      <c r="B34" t="s">
        <v>8</v>
      </c>
      <c r="E34" s="6">
        <f>IF(Input!A185 = 0, "***", Input!A199/Input!A185)</f>
        <v>62.98784157874362</v>
      </c>
      <c r="F34" s="6">
        <f>IF(Input!B185 = 0, "***", Input!B199/Input!B185)</f>
        <v>60.056613394799363</v>
      </c>
      <c r="G34" s="6">
        <f>IF(Input!C185 = 0, "***", Input!C199/Input!C185)</f>
        <v>42.022445362785959</v>
      </c>
      <c r="H34" s="6">
        <f>IF(Input!D185 = 0, "***", Input!D199/Input!D185)</f>
        <v>36.679502145083255</v>
      </c>
      <c r="I34" s="6">
        <f>IF(Input!E185 = 0, "***", Input!E199/Input!E185)</f>
        <v>37.337148742789545</v>
      </c>
      <c r="J34" s="6">
        <f>IF(Input!F185 = 0, "***", Input!F199/Input!F185)</f>
        <v>40.976755849717698</v>
      </c>
      <c r="K34" s="6">
        <f>IF(Input!G185 = 0, "***", Input!G199/Input!G185)</f>
        <v>46.769903258282838</v>
      </c>
      <c r="L34" s="6">
        <f>IF(Input!H185 = 0, "***", Input!H199/Input!H185)</f>
        <v>42.212779837318088</v>
      </c>
      <c r="M34" s="6">
        <f>IF(Input!I185 = 0, "***", Input!I199/Input!I185)</f>
        <v>43.045564805372848</v>
      </c>
      <c r="N34" s="6">
        <f>IF(Input!J185 = 0, "***", Input!J199/Input!J185)</f>
        <v>44.141363718556256</v>
      </c>
      <c r="O34" s="6">
        <f t="shared" si="2"/>
        <v>45.622991869344943</v>
      </c>
    </row>
    <row r="35" spans="2:15" ht="12" customHeight="1" x14ac:dyDescent="0.2">
      <c r="B35" t="s">
        <v>243</v>
      </c>
      <c r="E35" s="6">
        <f>IF(Input!A186 = 0, "***", Input!A200/Input!A186)</f>
        <v>42.935541259776407</v>
      </c>
      <c r="F35" s="6">
        <f>IF(Input!B186 = 0, "***", Input!B200/Input!B186)</f>
        <v>42.421993207263561</v>
      </c>
      <c r="G35" s="6">
        <f>IF(Input!C186 = 0, "***", Input!C200/Input!C186)</f>
        <v>35.509060943032608</v>
      </c>
      <c r="H35" s="6">
        <f>IF(Input!D186 = 0, "***", Input!D200/Input!D186)</f>
        <v>34.347207201228194</v>
      </c>
      <c r="I35" s="6">
        <f>IF(Input!E186 = 0, "***", Input!E200/Input!E186)</f>
        <v>39.860964156117774</v>
      </c>
      <c r="J35" s="6">
        <f>IF(Input!F186 = 0, "***", Input!F200/Input!F186)</f>
        <v>39.50477987720592</v>
      </c>
      <c r="K35" s="6">
        <f>IF(Input!G186 = 0, "***", Input!G200/Input!G186)</f>
        <v>37.960403236070711</v>
      </c>
      <c r="L35" s="6">
        <f>IF(Input!H186 = 0, "***", Input!H200/Input!H186)</f>
        <v>40.660998940347326</v>
      </c>
      <c r="M35" s="6">
        <f>IF(Input!I186 = 0, "***", Input!I200/Input!I186)</f>
        <v>31.020576444536768</v>
      </c>
      <c r="N35" s="6">
        <f>IF(Input!J186 = 0, "***", Input!J200/Input!J186)</f>
        <v>30.485604532249472</v>
      </c>
      <c r="O35" s="6">
        <f t="shared" si="2"/>
        <v>37.470712979782874</v>
      </c>
    </row>
    <row r="36" spans="2:15" ht="12" customHeight="1" x14ac:dyDescent="0.2">
      <c r="B36" t="s">
        <v>244</v>
      </c>
      <c r="E36" s="6" t="str">
        <f>IF(Input!A187 = 0, "***", Input!A201/Input!A187)</f>
        <v>***</v>
      </c>
      <c r="F36" s="6" t="str">
        <f>IF(Input!B187 = 0, "***", Input!B201/Input!B187)</f>
        <v>***</v>
      </c>
      <c r="G36" s="6" t="str">
        <f>IF(Input!C187 = 0, "***", Input!C201/Input!C187)</f>
        <v>***</v>
      </c>
      <c r="H36" s="6" t="str">
        <f>IF(Input!D187 = 0, "***", Input!D201/Input!D187)</f>
        <v>***</v>
      </c>
      <c r="I36" s="6" t="str">
        <f>IF(Input!E187 = 0, "***", Input!E201/Input!E187)</f>
        <v>***</v>
      </c>
      <c r="J36" s="6" t="str">
        <f>IF(Input!F187 = 0, "***", Input!F201/Input!F187)</f>
        <v>***</v>
      </c>
      <c r="K36" s="6" t="str">
        <f>IF(Input!G187 = 0, "***", Input!G201/Input!G187)</f>
        <v>***</v>
      </c>
      <c r="L36" s="6" t="str">
        <f>IF(Input!H187 = 0, "***", Input!H201/Input!H187)</f>
        <v>***</v>
      </c>
      <c r="M36" s="6" t="str">
        <f>IF(Input!I187 = 0, "***", Input!I201/Input!I187)</f>
        <v>***</v>
      </c>
      <c r="N36" s="6" t="str">
        <f>IF(Input!J187 = 0, "***", Input!J201/Input!J187)</f>
        <v>***</v>
      </c>
      <c r="O36" s="6" t="e">
        <f t="shared" si="2"/>
        <v>#DIV/0!</v>
      </c>
    </row>
  </sheetData>
  <mergeCells count="3">
    <mergeCell ref="D1:M1"/>
    <mergeCell ref="D2:M2"/>
    <mergeCell ref="D3:M3"/>
  </mergeCells>
  <phoneticPr fontId="0" type="noConversion"/>
  <printOptions horizontalCentered="1"/>
  <pageMargins left="0.78740157480314965" right="0.78740157480314965" top="0.78740157480314965" bottom="0.78740157480314965" header="0.43307086614173229" footer="0.43307086614173229"/>
  <pageSetup paperSize="9" orientation="landscape" horizontalDpi="0" r:id="rId1"/>
  <headerFooter alignWithMargins="0">
    <oddFooter>&amp;L&amp;8BOKU / HVLFÖ&amp;C&amp;8DVR-Nr: 0890723&amp;R&amp;8&amp;D</oddFooter>
  </headerFooter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A1:O50"/>
  <sheetViews>
    <sheetView workbookViewId="0">
      <selection activeCell="D2" sqref="D2:M2"/>
    </sheetView>
  </sheetViews>
  <sheetFormatPr baseColWidth="10" defaultRowHeight="12.75" x14ac:dyDescent="0.2"/>
  <cols>
    <col min="1" max="1" width="0.85546875" customWidth="1"/>
    <col min="2" max="2" width="10.28515625" customWidth="1"/>
    <col min="3" max="3" width="8.85546875" customWidth="1"/>
    <col min="4" max="4" width="9.7109375" customWidth="1"/>
    <col min="5" max="9" width="8.7109375" customWidth="1"/>
    <col min="10" max="10" width="8.85546875" customWidth="1"/>
    <col min="11" max="14" width="8.7109375" customWidth="1"/>
    <col min="15" max="15" width="10.7109375" customWidth="1"/>
  </cols>
  <sheetData>
    <row r="1" spans="1:15" ht="15.75" customHeight="1" x14ac:dyDescent="0.25">
      <c r="A1" t="s">
        <v>48</v>
      </c>
      <c r="C1" s="12">
        <f>Input!A3</f>
        <v>2024</v>
      </c>
      <c r="D1" s="36" t="s">
        <v>9</v>
      </c>
      <c r="E1" s="36"/>
      <c r="F1" s="36"/>
      <c r="G1" s="36"/>
      <c r="H1" s="36"/>
      <c r="I1" s="36"/>
      <c r="J1" s="36"/>
      <c r="K1" s="36"/>
      <c r="L1" s="36"/>
      <c r="M1" s="36"/>
      <c r="O1" s="3" t="s">
        <v>10</v>
      </c>
    </row>
    <row r="2" spans="1:15" ht="15.75" customHeight="1" x14ac:dyDescent="0.2">
      <c r="D2" s="37" t="str">
        <f>Kenndat!D2</f>
        <v>Produktionsgebiet 1: Alpenvorland</v>
      </c>
      <c r="E2" s="37"/>
      <c r="F2" s="37"/>
      <c r="G2" s="37"/>
      <c r="H2" s="37"/>
      <c r="I2" s="37"/>
      <c r="J2" s="37"/>
      <c r="K2" s="37"/>
      <c r="L2" s="37"/>
      <c r="M2" s="37"/>
    </row>
    <row r="3" spans="1:15" ht="15.75" customHeight="1" x14ac:dyDescent="0.2">
      <c r="D3" s="38" t="s">
        <v>11</v>
      </c>
      <c r="E3" s="38"/>
      <c r="F3" s="38"/>
      <c r="G3" s="38"/>
      <c r="H3" s="38"/>
      <c r="I3" s="38"/>
      <c r="J3" s="38"/>
      <c r="K3" s="38"/>
      <c r="L3" s="38"/>
      <c r="M3" s="38"/>
    </row>
    <row r="4" spans="1:15" ht="30" customHeight="1" x14ac:dyDescent="0.2"/>
    <row r="5" spans="1:15" x14ac:dyDescent="0.2">
      <c r="E5" s="3">
        <f>Input!A3</f>
        <v>2024</v>
      </c>
      <c r="F5" s="3">
        <f t="shared" ref="F5:N5" si="0">+E5-1</f>
        <v>2023</v>
      </c>
      <c r="G5" s="3">
        <f t="shared" si="0"/>
        <v>2022</v>
      </c>
      <c r="H5" s="3">
        <f t="shared" si="0"/>
        <v>2021</v>
      </c>
      <c r="I5" s="3">
        <f t="shared" si="0"/>
        <v>2020</v>
      </c>
      <c r="J5" s="3">
        <f t="shared" si="0"/>
        <v>2019</v>
      </c>
      <c r="K5" s="3">
        <f t="shared" si="0"/>
        <v>2018</v>
      </c>
      <c r="L5" s="3">
        <f t="shared" si="0"/>
        <v>2017</v>
      </c>
      <c r="M5" s="3">
        <f t="shared" si="0"/>
        <v>2016</v>
      </c>
      <c r="N5" s="3">
        <f t="shared" si="0"/>
        <v>2015</v>
      </c>
      <c r="O5" s="3" t="s">
        <v>16</v>
      </c>
    </row>
    <row r="6" spans="1:15" ht="7.5" customHeight="1" x14ac:dyDescent="0.2">
      <c r="E6" s="3"/>
      <c r="F6" s="3"/>
      <c r="G6" s="3"/>
      <c r="H6" s="3"/>
      <c r="I6" s="3"/>
      <c r="J6" s="3"/>
      <c r="K6" s="3"/>
      <c r="L6" s="3"/>
      <c r="M6" s="3"/>
      <c r="N6" s="3"/>
      <c r="O6" s="3"/>
    </row>
    <row r="7" spans="1:15" ht="13.5" customHeight="1" x14ac:dyDescent="0.2">
      <c r="A7" s="4" t="s">
        <v>3</v>
      </c>
      <c r="E7" s="3"/>
      <c r="F7" s="3"/>
      <c r="G7" s="3"/>
      <c r="H7" s="3"/>
      <c r="I7" s="3"/>
      <c r="J7" s="3"/>
      <c r="K7" s="3"/>
      <c r="L7" s="3"/>
      <c r="M7" s="3"/>
      <c r="N7" s="3"/>
      <c r="O7" s="3"/>
    </row>
    <row r="8" spans="1:15" ht="6" customHeight="1" x14ac:dyDescent="0.2">
      <c r="A8" s="4"/>
      <c r="E8" s="3"/>
      <c r="F8" s="3"/>
      <c r="G8" s="3"/>
      <c r="H8" s="3"/>
      <c r="I8" s="3"/>
      <c r="J8" s="3"/>
      <c r="K8" s="3"/>
      <c r="L8" s="3"/>
      <c r="M8" s="3"/>
      <c r="N8" s="3"/>
      <c r="O8" s="3"/>
    </row>
    <row r="9" spans="1:15" ht="12" customHeight="1" x14ac:dyDescent="0.2">
      <c r="B9" t="s">
        <v>179</v>
      </c>
      <c r="E9" s="22">
        <f>Input!A170/Input!A$34*100</f>
        <v>95.988443834028985</v>
      </c>
      <c r="F9" s="22">
        <f>Input!B170/Input!B$34*100</f>
        <v>100.45956144738517</v>
      </c>
      <c r="G9" s="22">
        <f>Input!C170/Input!C$34*100</f>
        <v>106.01097892788125</v>
      </c>
      <c r="H9" s="22">
        <f>Input!D170/Input!D$34*100</f>
        <v>102.16185315082657</v>
      </c>
      <c r="I9" s="22">
        <f>Input!E170/Input!E$34*100</f>
        <v>100.33383171034154</v>
      </c>
      <c r="J9" s="22">
        <f>Input!F170/Input!F$34*100</f>
        <v>96.806076316960301</v>
      </c>
      <c r="K9" s="22">
        <f>Input!G170/Input!G$34*100</f>
        <v>98.219737271613454</v>
      </c>
      <c r="L9" s="22">
        <f>Input!H170/Input!H$34*100</f>
        <v>100.33939175005942</v>
      </c>
      <c r="M9" s="22">
        <f>Input!I170/Input!I$34*100</f>
        <v>91.429171600783661</v>
      </c>
      <c r="N9" s="22">
        <f>Input!J170/Input!J$34*100</f>
        <v>102.94966593777075</v>
      </c>
      <c r="O9" s="22">
        <f>AVERAGE(E9:N9)</f>
        <v>99.469871194765119</v>
      </c>
    </row>
    <row r="10" spans="1:15" ht="12" customHeight="1" x14ac:dyDescent="0.2">
      <c r="B10" t="s">
        <v>180</v>
      </c>
      <c r="E10" s="22">
        <f>Input!A171/Input!A$34*100</f>
        <v>2.8187468480745088</v>
      </c>
      <c r="F10" s="22">
        <f>Input!B171/Input!B$34*100</f>
        <v>-0.12257858254510748</v>
      </c>
      <c r="G10" s="22">
        <f>Input!C171/Input!C$34*100</f>
        <v>-5.9926546012543298</v>
      </c>
      <c r="H10" s="22">
        <f>Input!D171/Input!D$34*100</f>
        <v>-1.1475430354972602</v>
      </c>
      <c r="I10" s="22">
        <f>Input!E171/Input!E$34*100</f>
        <v>-0.37541912510880604</v>
      </c>
      <c r="J10" s="22">
        <f>Input!F171/Input!F$34*100</f>
        <v>2.9631620865043171</v>
      </c>
      <c r="K10" s="22">
        <f>Input!G171/Input!G$34*100</f>
        <v>1.6413362709806409</v>
      </c>
      <c r="L10" s="22">
        <f>Input!H171/Input!H$34*100</f>
        <v>-1.6359877079556451</v>
      </c>
      <c r="M10" s="22">
        <f>Input!I171/Input!I$34*100</f>
        <v>8.4339297283285237</v>
      </c>
      <c r="N10" s="22">
        <f>Input!J171/Input!J$34*100</f>
        <v>-3.3169625658583701</v>
      </c>
      <c r="O10" s="22">
        <f>AVERAGE(E10:N10)</f>
        <v>0.32660293156684722</v>
      </c>
    </row>
    <row r="11" spans="1:15" ht="12" customHeight="1" x14ac:dyDescent="0.2">
      <c r="B11" t="s">
        <v>181</v>
      </c>
      <c r="E11" s="22">
        <f>Input!A172/Input!A$34*100</f>
        <v>0.26708209491721835</v>
      </c>
      <c r="F11" s="22">
        <f>Input!B172/Input!B$34*100</f>
        <v>0.14691841367078612</v>
      </c>
      <c r="G11" s="22">
        <f>Input!C172/Input!C$34*100</f>
        <v>0.42907322728970843</v>
      </c>
      <c r="H11" s="22">
        <f>Input!D172/Input!D$34*100</f>
        <v>0.39493999933327772</v>
      </c>
      <c r="I11" s="22">
        <f>Input!E172/Input!E$34*100</f>
        <v>4.1587414767265407E-2</v>
      </c>
      <c r="J11" s="22">
        <f>Input!F172/Input!F$34*100</f>
        <v>0.23076159653538042</v>
      </c>
      <c r="K11" s="22">
        <f>Input!G172/Input!G$34*100</f>
        <v>0.13892645740590678</v>
      </c>
      <c r="L11" s="22">
        <f>Input!H172/Input!H$34*100</f>
        <v>1.3248178482760602</v>
      </c>
      <c r="M11" s="22">
        <f>Input!I172/Input!I$34*100</f>
        <v>0.1368986708878224</v>
      </c>
      <c r="N11" s="22">
        <f>Input!J172/Input!J$34*100</f>
        <v>0.36729662808763391</v>
      </c>
      <c r="O11" s="22">
        <f>AVERAGE(E11:N11)</f>
        <v>0.34783023511710598</v>
      </c>
    </row>
    <row r="12" spans="1:15" ht="12" customHeight="1" x14ac:dyDescent="0.2">
      <c r="B12" t="s">
        <v>182</v>
      </c>
      <c r="E12" s="22">
        <f>Input!A173/Input!A$34*100</f>
        <v>0.92572722297928045</v>
      </c>
      <c r="F12" s="22">
        <f>Input!B173/Input!B$34*100</f>
        <v>-0.48390127851085146</v>
      </c>
      <c r="G12" s="22">
        <f>Input!C173/Input!C$34*100</f>
        <v>-0.44739755391660763</v>
      </c>
      <c r="H12" s="22">
        <f>Input!D173/Input!D$34*100</f>
        <v>-1.4092501146625982</v>
      </c>
      <c r="I12" s="22">
        <f>Input!E173/Input!E$34*100</f>
        <v>0</v>
      </c>
      <c r="J12" s="22">
        <f>Input!F173/Input!F$34*100</f>
        <v>0</v>
      </c>
      <c r="K12" s="22">
        <f>Input!G173/Input!G$34*100</f>
        <v>0</v>
      </c>
      <c r="L12" s="22">
        <f>Input!H173/Input!H$34*100</f>
        <v>-2.8221890379827839E-2</v>
      </c>
      <c r="M12" s="22">
        <f>Input!I173/Input!I$34*100</f>
        <v>0</v>
      </c>
      <c r="N12" s="22">
        <f>Input!J173/Input!J$34*100</f>
        <v>0</v>
      </c>
      <c r="O12" s="22">
        <f>AVERAGE(E12:N12)</f>
        <v>-0.14430436144906048</v>
      </c>
    </row>
    <row r="13" spans="1:15" ht="12.75" customHeight="1" x14ac:dyDescent="0.2">
      <c r="B13" s="19"/>
      <c r="E13" s="22"/>
      <c r="F13" s="22"/>
      <c r="G13" s="22"/>
      <c r="H13" s="22"/>
      <c r="I13" s="22"/>
      <c r="J13" s="22"/>
      <c r="K13" s="22"/>
      <c r="L13" s="22"/>
      <c r="M13" s="22"/>
      <c r="N13" s="22"/>
      <c r="O13" s="22"/>
    </row>
    <row r="14" spans="1:15" ht="13.5" customHeight="1" x14ac:dyDescent="0.2">
      <c r="A14" s="21" t="s">
        <v>4</v>
      </c>
      <c r="B14" s="5"/>
      <c r="C14" s="5"/>
      <c r="D14" s="5"/>
      <c r="E14" s="23"/>
      <c r="F14" s="23"/>
      <c r="G14" s="23"/>
      <c r="H14" s="23"/>
      <c r="I14" s="23"/>
      <c r="J14" s="23"/>
      <c r="K14" s="23"/>
      <c r="L14" s="23"/>
      <c r="M14" s="23"/>
      <c r="N14" s="23"/>
      <c r="O14" s="23"/>
    </row>
    <row r="15" spans="1:15" ht="6" customHeight="1" x14ac:dyDescent="0.2">
      <c r="A15" s="21"/>
      <c r="B15" s="5"/>
      <c r="C15" s="5"/>
      <c r="D15" s="5"/>
      <c r="E15" s="23"/>
      <c r="F15" s="23"/>
      <c r="G15" s="23"/>
      <c r="H15" s="23"/>
      <c r="I15" s="23"/>
      <c r="J15" s="23"/>
      <c r="K15" s="23"/>
      <c r="L15" s="23"/>
      <c r="M15" s="23"/>
      <c r="N15" s="23"/>
      <c r="O15" s="23"/>
    </row>
    <row r="16" spans="1:15" ht="12" customHeight="1" x14ac:dyDescent="0.2">
      <c r="B16" t="s">
        <v>231</v>
      </c>
      <c r="E16" s="22">
        <f>Input!A174/Input!A$170*100</f>
        <v>3.3817692814589138</v>
      </c>
      <c r="F16" s="22">
        <f>Input!B174/Input!B$170*100</f>
        <v>9.9766145949492699</v>
      </c>
      <c r="G16" s="22">
        <f>Input!C174/Input!C$170*100</f>
        <v>7.7681823970880322</v>
      </c>
      <c r="H16" s="22">
        <f>Input!D174/Input!D$170*100</f>
        <v>3.9144086191591367</v>
      </c>
      <c r="I16" s="22">
        <f>Input!E174/Input!E$170*100</f>
        <v>4.6835932228951531</v>
      </c>
      <c r="J16" s="22">
        <f>Input!F174/Input!F$170*100</f>
        <v>5.2632686240439215</v>
      </c>
      <c r="K16" s="22">
        <f>Input!G174/Input!G$170*100</f>
        <v>3.9886784422610013</v>
      </c>
      <c r="L16" s="22">
        <f>Input!H174/Input!H$170*100</f>
        <v>2.4046927076014848</v>
      </c>
      <c r="M16" s="22">
        <f>Input!I174/Input!I$170*100</f>
        <v>6.1444291536266693</v>
      </c>
      <c r="N16" s="22">
        <f>Input!J174/Input!J$170*100</f>
        <v>7.44746651300055</v>
      </c>
      <c r="O16" s="22">
        <f t="shared" ref="O16:O22" si="1">AVERAGE(E16:N16)</f>
        <v>5.4973103556084135</v>
      </c>
    </row>
    <row r="17" spans="1:15" ht="12" customHeight="1" x14ac:dyDescent="0.2">
      <c r="B17" t="s">
        <v>232</v>
      </c>
      <c r="E17" s="22">
        <f>Input!A175/Input!A$170*100</f>
        <v>0</v>
      </c>
      <c r="F17" s="22">
        <f>Input!B175/Input!B$170*100</f>
        <v>0</v>
      </c>
      <c r="G17" s="22">
        <f>Input!C175/Input!C$170*100</f>
        <v>0</v>
      </c>
      <c r="H17" s="22">
        <f>Input!D175/Input!D$170*100</f>
        <v>0</v>
      </c>
      <c r="I17" s="22">
        <f>Input!E175/Input!E$170*100</f>
        <v>0</v>
      </c>
      <c r="J17" s="22">
        <f>Input!F175/Input!F$170*100</f>
        <v>0</v>
      </c>
      <c r="K17" s="22">
        <f>Input!G175/Input!G$170*100</f>
        <v>0</v>
      </c>
      <c r="L17" s="22">
        <f>Input!H175/Input!H$170*100</f>
        <v>0</v>
      </c>
      <c r="M17" s="22">
        <f>Input!I175/Input!I$170*100</f>
        <v>0</v>
      </c>
      <c r="N17" s="22">
        <f>Input!J175/Input!J$170*100</f>
        <v>0</v>
      </c>
      <c r="O17" s="22">
        <f t="shared" si="1"/>
        <v>0</v>
      </c>
    </row>
    <row r="18" spans="1:15" ht="12" customHeight="1" x14ac:dyDescent="0.2">
      <c r="B18" t="s">
        <v>233</v>
      </c>
      <c r="E18" s="22">
        <f>Input!A176/Input!A$170*100</f>
        <v>78.95672958421433</v>
      </c>
      <c r="F18" s="22">
        <f>Input!B176/Input!B$170*100</f>
        <v>87.492350316707657</v>
      </c>
      <c r="G18" s="22">
        <f>Input!C176/Input!C$170*100</f>
        <v>90.192682136307312</v>
      </c>
      <c r="H18" s="22">
        <f>Input!D176/Input!D$170*100</f>
        <v>94.62510738406948</v>
      </c>
      <c r="I18" s="22">
        <f>Input!E176/Input!E$170*100</f>
        <v>95.316406777104859</v>
      </c>
      <c r="J18" s="22">
        <f>Input!F176/Input!F$170*100</f>
        <v>94.736731375956083</v>
      </c>
      <c r="K18" s="22">
        <f>Input!G176/Input!G$170*100</f>
        <v>89.995029267607777</v>
      </c>
      <c r="L18" s="22">
        <f>Input!H176/Input!H$170*100</f>
        <v>90.84261984115831</v>
      </c>
      <c r="M18" s="22">
        <f>Input!I176/Input!I$170*100</f>
        <v>93.855570846373325</v>
      </c>
      <c r="N18" s="22">
        <f>Input!J176/Input!J$170*100</f>
        <v>87.436147984598108</v>
      </c>
      <c r="O18" s="22">
        <f t="shared" si="1"/>
        <v>90.344937551409743</v>
      </c>
    </row>
    <row r="19" spans="1:15" ht="12" customHeight="1" x14ac:dyDescent="0.2">
      <c r="B19" t="s">
        <v>234</v>
      </c>
      <c r="E19" s="22">
        <f>Input!A177/Input!A$170*100</f>
        <v>0</v>
      </c>
      <c r="F19" s="22">
        <f>Input!B177/Input!B$170*100</f>
        <v>0</v>
      </c>
      <c r="G19" s="22">
        <f>Input!C177/Input!C$170*100</f>
        <v>0</v>
      </c>
      <c r="H19" s="22">
        <f>Input!D177/Input!D$170*100</f>
        <v>0</v>
      </c>
      <c r="I19" s="22">
        <f>Input!E177/Input!E$170*100</f>
        <v>0</v>
      </c>
      <c r="J19" s="22">
        <f>Input!F177/Input!F$170*100</f>
        <v>0</v>
      </c>
      <c r="K19" s="22">
        <f>Input!G177/Input!G$170*100</f>
        <v>0</v>
      </c>
      <c r="L19" s="22">
        <f>Input!H177/Input!H$170*100</f>
        <v>0</v>
      </c>
      <c r="M19" s="22">
        <f>Input!I177/Input!I$170*100</f>
        <v>0</v>
      </c>
      <c r="N19" s="22">
        <f>Input!J177/Input!J$170*100</f>
        <v>5.1163855024013438</v>
      </c>
      <c r="O19" s="22">
        <f t="shared" si="1"/>
        <v>0.51163855024013438</v>
      </c>
    </row>
    <row r="20" spans="1:15" ht="12" customHeight="1" x14ac:dyDescent="0.2">
      <c r="B20" t="s">
        <v>235</v>
      </c>
      <c r="E20" s="22">
        <f>Input!A178/Input!A$170*100</f>
        <v>9.4375203656226621</v>
      </c>
      <c r="F20" s="22">
        <f>Input!B178/Input!B$170*100</f>
        <v>0</v>
      </c>
      <c r="G20" s="22">
        <f>Input!C178/Input!C$170*100</f>
        <v>0</v>
      </c>
      <c r="H20" s="22">
        <f>Input!D178/Input!D$170*100</f>
        <v>0</v>
      </c>
      <c r="I20" s="22">
        <f>Input!E178/Input!E$170*100</f>
        <v>0</v>
      </c>
      <c r="J20" s="22">
        <f>Input!F178/Input!F$170*100</f>
        <v>0</v>
      </c>
      <c r="K20" s="22">
        <f>Input!G178/Input!G$170*100</f>
        <v>0</v>
      </c>
      <c r="L20" s="22">
        <f>Input!H178/Input!H$170*100</f>
        <v>0</v>
      </c>
      <c r="M20" s="22">
        <f>Input!I178/Input!I$170*100</f>
        <v>0</v>
      </c>
      <c r="N20" s="22">
        <f>Input!J178/Input!J$170*100</f>
        <v>0</v>
      </c>
      <c r="O20" s="22">
        <f t="shared" si="1"/>
        <v>0.94375203656226625</v>
      </c>
    </row>
    <row r="21" spans="1:15" ht="12" customHeight="1" x14ac:dyDescent="0.2">
      <c r="B21" t="s">
        <v>236</v>
      </c>
      <c r="E21" s="22">
        <f>Input!A179/Input!A$170*100</f>
        <v>8.2239807687040969</v>
      </c>
      <c r="F21" s="22">
        <f>Input!B179/Input!B$170*100</f>
        <v>2.5310350883430677</v>
      </c>
      <c r="G21" s="22">
        <f>Input!C179/Input!C$170*100</f>
        <v>2.0391354666046535</v>
      </c>
      <c r="H21" s="22">
        <f>Input!D179/Input!D$170*100</f>
        <v>1.4604839967713814</v>
      </c>
      <c r="I21" s="22">
        <f>Input!E179/Input!E$170*100</f>
        <v>0</v>
      </c>
      <c r="J21" s="22">
        <f>Input!F179/Input!F$170*100</f>
        <v>0</v>
      </c>
      <c r="K21" s="22">
        <f>Input!G179/Input!G$170*100</f>
        <v>6.0162922901312292</v>
      </c>
      <c r="L21" s="22">
        <f>Input!H179/Input!H$170*100</f>
        <v>6.7526874512401944</v>
      </c>
      <c r="M21" s="22">
        <f>Input!I179/Input!I$170*100</f>
        <v>0</v>
      </c>
      <c r="N21" s="22">
        <f>Input!J179/Input!J$170*100</f>
        <v>0</v>
      </c>
      <c r="O21" s="22">
        <f t="shared" si="1"/>
        <v>2.7023615061794626</v>
      </c>
    </row>
    <row r="22" spans="1:15" ht="12" customHeight="1" x14ac:dyDescent="0.2">
      <c r="B22" t="s">
        <v>237</v>
      </c>
      <c r="E22" s="22">
        <f>Input!A180/Input!A$170*100</f>
        <v>0</v>
      </c>
      <c r="F22" s="22">
        <f>Input!B180/Input!B$170*100</f>
        <v>0</v>
      </c>
      <c r="G22" s="22">
        <f>Input!C180/Input!C$170*100</f>
        <v>0</v>
      </c>
      <c r="H22" s="22">
        <f>Input!D180/Input!D$170*100</f>
        <v>0</v>
      </c>
      <c r="I22" s="22">
        <f>Input!E180/Input!E$170*100</f>
        <v>0</v>
      </c>
      <c r="J22" s="22">
        <f>Input!F180/Input!F$170*100</f>
        <v>0</v>
      </c>
      <c r="K22" s="22">
        <f>Input!G180/Input!G$170*100</f>
        <v>0</v>
      </c>
      <c r="L22" s="22">
        <f>Input!H180/Input!H$170*100</f>
        <v>0</v>
      </c>
      <c r="M22" s="22">
        <f>Input!I180/Input!I$170*100</f>
        <v>0</v>
      </c>
      <c r="N22" s="22">
        <f>Input!J180/Input!J$170*100</f>
        <v>0</v>
      </c>
      <c r="O22" s="22">
        <f t="shared" si="1"/>
        <v>0</v>
      </c>
    </row>
    <row r="23" spans="1:15" ht="12" customHeight="1" x14ac:dyDescent="0.2">
      <c r="E23" s="22"/>
      <c r="F23" s="22"/>
      <c r="G23" s="22"/>
      <c r="H23" s="22"/>
      <c r="I23" s="22"/>
      <c r="J23" s="22"/>
      <c r="K23" s="22"/>
      <c r="L23" s="22"/>
      <c r="M23" s="22"/>
      <c r="N23" s="22"/>
      <c r="O23" s="22"/>
    </row>
    <row r="24" spans="1:15" ht="13.5" customHeight="1" x14ac:dyDescent="0.2">
      <c r="A24" s="4" t="s">
        <v>5</v>
      </c>
      <c r="E24" s="23"/>
      <c r="F24" s="23"/>
      <c r="G24" s="23"/>
      <c r="H24" s="23"/>
      <c r="I24" s="23"/>
      <c r="J24" s="23"/>
      <c r="K24" s="23"/>
      <c r="L24" s="23"/>
      <c r="M24" s="23"/>
      <c r="N24" s="23"/>
      <c r="O24" s="23"/>
    </row>
    <row r="25" spans="1:15" ht="6" customHeight="1" x14ac:dyDescent="0.2">
      <c r="A25" s="4"/>
      <c r="E25" s="23"/>
      <c r="F25" s="23"/>
      <c r="G25" s="23"/>
      <c r="H25" s="23"/>
      <c r="I25" s="23"/>
      <c r="J25" s="23"/>
      <c r="K25" s="23"/>
      <c r="L25" s="23"/>
      <c r="M25" s="23"/>
      <c r="N25" s="23"/>
      <c r="O25" s="23"/>
    </row>
    <row r="26" spans="1:15" ht="12" customHeight="1" x14ac:dyDescent="0.2">
      <c r="B26" t="s">
        <v>238</v>
      </c>
      <c r="E26" s="22">
        <f>Input!A181/Input!A$170*100</f>
        <v>62.934734432280507</v>
      </c>
      <c r="F26" s="22">
        <f>Input!B181/Input!B$170*100</f>
        <v>53.074256876364956</v>
      </c>
      <c r="G26" s="22">
        <f>Input!C181/Input!C$170*100</f>
        <v>44.206320788801335</v>
      </c>
      <c r="H26" s="22">
        <f>Input!D181/Input!D$170*100</f>
        <v>53.22630144882671</v>
      </c>
      <c r="I26" s="22">
        <f>Input!E181/Input!E$170*100</f>
        <v>56.99922062897376</v>
      </c>
      <c r="J26" s="22">
        <f>Input!F181/Input!F$170*100</f>
        <v>49.102147131193604</v>
      </c>
      <c r="K26" s="22">
        <f>Input!G181/Input!G$170*100</f>
        <v>44.820662845781186</v>
      </c>
      <c r="L26" s="22">
        <f>Input!H181/Input!H$170*100</f>
        <v>42.337592417301543</v>
      </c>
      <c r="M26" s="22">
        <f>Input!I181/Input!I$170*100</f>
        <v>43.348490725440087</v>
      </c>
      <c r="N26" s="22">
        <f>Input!J181/Input!J$170*100</f>
        <v>57.802477185336286</v>
      </c>
      <c r="O26" s="22">
        <f>AVERAGE(E26:N26)</f>
        <v>50.785220448029989</v>
      </c>
    </row>
    <row r="27" spans="1:15" ht="12" customHeight="1" x14ac:dyDescent="0.2">
      <c r="B27" t="s">
        <v>239</v>
      </c>
      <c r="E27" s="22">
        <f>Input!A182/Input!A$170*100</f>
        <v>37.065265567719507</v>
      </c>
      <c r="F27" s="22">
        <f>Input!B182/Input!B$170*100</f>
        <v>46.925743123635044</v>
      </c>
      <c r="G27" s="22">
        <f>Input!C182/Input!C$170*100</f>
        <v>55.793679211198665</v>
      </c>
      <c r="H27" s="22">
        <f>Input!D182/Input!D$170*100</f>
        <v>46.773698551173283</v>
      </c>
      <c r="I27" s="22">
        <f>Input!E182/Input!E$170*100</f>
        <v>43.000779371026255</v>
      </c>
      <c r="J27" s="22">
        <f>Input!F182/Input!F$170*100</f>
        <v>50.897852868806396</v>
      </c>
      <c r="K27" s="22">
        <f>Input!G182/Input!G$170*100</f>
        <v>55.179337154218814</v>
      </c>
      <c r="L27" s="22">
        <f>Input!H182/Input!H$170*100</f>
        <v>57.662407582698449</v>
      </c>
      <c r="M27" s="22">
        <f>Input!I182/Input!I$170*100</f>
        <v>56.65150927455992</v>
      </c>
      <c r="N27" s="22">
        <f>Input!J182/Input!J$170*100</f>
        <v>42.197522814663699</v>
      </c>
      <c r="O27" s="22">
        <f>AVERAGE(E27:N27)</f>
        <v>49.214779551970004</v>
      </c>
    </row>
    <row r="28" spans="1:15" ht="12.75" customHeight="1" x14ac:dyDescent="0.2">
      <c r="E28" s="22"/>
      <c r="F28" s="22"/>
      <c r="G28" s="22"/>
      <c r="H28" s="22"/>
      <c r="I28" s="22"/>
      <c r="J28" s="22"/>
      <c r="K28" s="22"/>
      <c r="L28" s="22"/>
      <c r="M28" s="22"/>
      <c r="N28" s="22"/>
      <c r="O28" s="22"/>
    </row>
    <row r="29" spans="1:15" ht="13.5" customHeight="1" x14ac:dyDescent="0.2">
      <c r="A29" s="4" t="s">
        <v>6</v>
      </c>
      <c r="E29" s="23"/>
      <c r="F29" s="23"/>
      <c r="G29" s="23"/>
      <c r="H29" s="23"/>
      <c r="I29" s="23"/>
      <c r="J29" s="23"/>
      <c r="K29" s="23"/>
      <c r="L29" s="23"/>
      <c r="M29" s="23"/>
      <c r="N29" s="23"/>
      <c r="O29" s="23"/>
    </row>
    <row r="30" spans="1:15" ht="6" customHeight="1" x14ac:dyDescent="0.2">
      <c r="A30" s="4"/>
      <c r="E30" s="23"/>
      <c r="F30" s="23"/>
      <c r="G30" s="23"/>
      <c r="H30" s="23"/>
      <c r="I30" s="23"/>
      <c r="J30" s="23"/>
      <c r="K30" s="23"/>
      <c r="L30" s="23"/>
      <c r="M30" s="23"/>
      <c r="N30" s="23"/>
      <c r="O30" s="23"/>
    </row>
    <row r="31" spans="1:15" ht="12" customHeight="1" x14ac:dyDescent="0.2">
      <c r="B31" t="s">
        <v>293</v>
      </c>
      <c r="E31" s="22">
        <f>Input!A183/Input!A$170*100</f>
        <v>31.474730978159108</v>
      </c>
      <c r="F31" s="22">
        <f>Input!B183/Input!B$170*100</f>
        <v>32.005884330324101</v>
      </c>
      <c r="G31" s="22">
        <f>Input!C183/Input!C$170*100</f>
        <v>37.711766700733087</v>
      </c>
      <c r="H31" s="22">
        <f>Input!D183/Input!D$170*100</f>
        <v>39.081578412993856</v>
      </c>
      <c r="I31" s="22">
        <f>Input!E183/Input!E$170*100</f>
        <v>40.606532726637724</v>
      </c>
      <c r="J31" s="22">
        <f>Input!F183/Input!F$170*100</f>
        <v>38.046670053759932</v>
      </c>
      <c r="K31" s="22">
        <f>Input!G183/Input!G$170*100</f>
        <v>36.454685065139422</v>
      </c>
      <c r="L31" s="22">
        <f>Input!H183/Input!H$170*100</f>
        <v>35.149027311819815</v>
      </c>
      <c r="M31" s="22">
        <f>Input!I183/Input!I$170*100</f>
        <v>46.282599108409542</v>
      </c>
      <c r="N31" s="22">
        <f>Input!J183/Input!J$170*100</f>
        <v>50.749951329669038</v>
      </c>
      <c r="O31" s="22">
        <f>AVERAGE(E31:N31)</f>
        <v>38.756342601764558</v>
      </c>
    </row>
    <row r="32" spans="1:15" ht="12" customHeight="1" x14ac:dyDescent="0.2">
      <c r="B32" t="s">
        <v>7</v>
      </c>
      <c r="E32" s="22">
        <f>Input!A184/Input!A$170*100</f>
        <v>0.34211451474345328</v>
      </c>
      <c r="F32" s="22">
        <f>Input!B184/Input!B$170*100</f>
        <v>0.20520814141786339</v>
      </c>
      <c r="G32" s="22">
        <f>Input!C184/Input!C$170*100</f>
        <v>2.6591896826673369E-2</v>
      </c>
      <c r="H32" s="22">
        <f>Input!D184/Input!D$170*100</f>
        <v>3.9811862867662307E-2</v>
      </c>
      <c r="I32" s="22">
        <f>Input!E184/Input!E$170*100</f>
        <v>0.19205220148750229</v>
      </c>
      <c r="J32" s="22">
        <f>Input!F184/Input!F$170*100</f>
        <v>2.5792587380090333E-2</v>
      </c>
      <c r="K32" s="22">
        <f>Input!G184/Input!G$170*100</f>
        <v>0.15788300288491533</v>
      </c>
      <c r="L32" s="22">
        <f>Input!H184/Input!H$170*100</f>
        <v>0.15256245269046312</v>
      </c>
      <c r="M32" s="22">
        <f>Input!I184/Input!I$170*100</f>
        <v>1.5642683697921926E-2</v>
      </c>
      <c r="N32" s="22">
        <f>Input!J184/Input!J$170*100</f>
        <v>7.5764305371436701E-3</v>
      </c>
      <c r="O32" s="22">
        <f>AVERAGE(E32:N32)</f>
        <v>0.11652357745336892</v>
      </c>
    </row>
    <row r="33" spans="2:15" ht="12" customHeight="1" x14ac:dyDescent="0.2">
      <c r="B33" s="14" t="s">
        <v>294</v>
      </c>
      <c r="E33" s="32">
        <f>SUM(E31:E32)</f>
        <v>31.816845492902562</v>
      </c>
      <c r="F33" s="32">
        <f t="shared" ref="F33:O33" si="2">SUM(F31:F32)</f>
        <v>32.211092471741964</v>
      </c>
      <c r="G33" s="32">
        <f t="shared" si="2"/>
        <v>37.73835859755976</v>
      </c>
      <c r="H33" s="32">
        <f t="shared" si="2"/>
        <v>39.121390275861522</v>
      </c>
      <c r="I33" s="32">
        <f t="shared" si="2"/>
        <v>40.798584928125223</v>
      </c>
      <c r="J33" s="32">
        <f t="shared" si="2"/>
        <v>38.072462641140021</v>
      </c>
      <c r="K33" s="32">
        <f t="shared" si="2"/>
        <v>36.612568068024338</v>
      </c>
      <c r="L33" s="32">
        <f t="shared" si="2"/>
        <v>35.301589764510275</v>
      </c>
      <c r="M33" s="32">
        <f t="shared" si="2"/>
        <v>46.298241792107461</v>
      </c>
      <c r="N33" s="32">
        <f t="shared" si="2"/>
        <v>50.75752776020618</v>
      </c>
      <c r="O33" s="32">
        <f t="shared" si="2"/>
        <v>38.87286617921793</v>
      </c>
    </row>
    <row r="34" spans="2:15" ht="12" customHeight="1" x14ac:dyDescent="0.2">
      <c r="B34" t="s">
        <v>8</v>
      </c>
      <c r="E34" s="22">
        <f>Input!A185/Input!A$170*100</f>
        <v>18.191370621076736</v>
      </c>
      <c r="F34" s="22">
        <f>Input!B185/Input!B$170*100</f>
        <v>22.845752217061378</v>
      </c>
      <c r="G34" s="22">
        <f>Input!C185/Input!C$170*100</f>
        <v>28.745482523997079</v>
      </c>
      <c r="H34" s="22">
        <f>Input!D185/Input!D$170*100</f>
        <v>25.054313716023753</v>
      </c>
      <c r="I34" s="22">
        <f>Input!E185/Input!E$170*100</f>
        <v>28.778870462681478</v>
      </c>
      <c r="J34" s="22">
        <f>Input!F185/Input!F$170*100</f>
        <v>26.744820879837576</v>
      </c>
      <c r="K34" s="22">
        <f>Input!G185/Input!G$170*100</f>
        <v>27.068220074335049</v>
      </c>
      <c r="L34" s="22">
        <f>Input!H185/Input!H$170*100</f>
        <v>31.995140221394863</v>
      </c>
      <c r="M34" s="22">
        <f>Input!I185/Input!I$170*100</f>
        <v>29.658677066784268</v>
      </c>
      <c r="N34" s="22">
        <f>Input!J185/Input!J$170*100</f>
        <v>21.435555705376114</v>
      </c>
      <c r="O34" s="22">
        <f>AVERAGE(E34:N34)</f>
        <v>26.051820348856829</v>
      </c>
    </row>
    <row r="35" spans="2:15" ht="12" customHeight="1" x14ac:dyDescent="0.2">
      <c r="B35" t="s">
        <v>243</v>
      </c>
      <c r="E35" s="22">
        <f>Input!A186/Input!A$170*100</f>
        <v>49.991783886020706</v>
      </c>
      <c r="F35" s="22">
        <f>Input!B186/Input!B$170*100</f>
        <v>44.943155311196662</v>
      </c>
      <c r="G35" s="22">
        <f>Input!C186/Input!C$170*100</f>
        <v>33.516158878443157</v>
      </c>
      <c r="H35" s="22">
        <f>Input!D186/Input!D$170*100</f>
        <v>35.824296008114729</v>
      </c>
      <c r="I35" s="22">
        <f>Input!E186/Input!E$170*100</f>
        <v>30.422544609193309</v>
      </c>
      <c r="J35" s="22">
        <f>Input!F186/Input!F$170*100</f>
        <v>35.182716479022396</v>
      </c>
      <c r="K35" s="22">
        <f>Input!G186/Input!G$170*100</f>
        <v>36.319211857640624</v>
      </c>
      <c r="L35" s="22">
        <f>Input!H186/Input!H$170*100</f>
        <v>32.703270014094855</v>
      </c>
      <c r="M35" s="22">
        <f>Input!I186/Input!I$170*100</f>
        <v>24.043081141108271</v>
      </c>
      <c r="N35" s="22">
        <f>Input!J186/Input!J$170*100</f>
        <v>27.806916534417692</v>
      </c>
      <c r="O35" s="22">
        <f>AVERAGE(E35:N35)</f>
        <v>35.075313471925242</v>
      </c>
    </row>
    <row r="36" spans="2:15" ht="12" customHeight="1" x14ac:dyDescent="0.2">
      <c r="B36" t="s">
        <v>244</v>
      </c>
      <c r="E36" s="22">
        <f>Input!A187/Input!A$170*100</f>
        <v>0</v>
      </c>
      <c r="F36" s="22">
        <f>Input!B187/Input!B$170*100</f>
        <v>0</v>
      </c>
      <c r="G36" s="22">
        <f>Input!C187/Input!C$170*100</f>
        <v>0</v>
      </c>
      <c r="H36" s="22">
        <f>Input!D187/Input!D$170*100</f>
        <v>0</v>
      </c>
      <c r="I36" s="22">
        <f>Input!E187/Input!E$170*100</f>
        <v>0</v>
      </c>
      <c r="J36" s="22">
        <f>Input!F187/Input!F$170*100</f>
        <v>0</v>
      </c>
      <c r="K36" s="22">
        <f>Input!G187/Input!G$170*100</f>
        <v>0</v>
      </c>
      <c r="L36" s="22">
        <f>Input!H187/Input!H$170*100</f>
        <v>0</v>
      </c>
      <c r="M36" s="22">
        <f>Input!I187/Input!I$170*100</f>
        <v>0</v>
      </c>
      <c r="N36" s="22">
        <f>Input!J187/Input!J$170*100</f>
        <v>0</v>
      </c>
      <c r="O36" s="22">
        <f>AVERAGE(E36:N36)</f>
        <v>0</v>
      </c>
    </row>
    <row r="37" spans="2:15" ht="3" customHeight="1" x14ac:dyDescent="0.2">
      <c r="E37" s="22"/>
      <c r="F37" s="22"/>
      <c r="G37" s="22"/>
      <c r="H37" s="22"/>
      <c r="I37" s="22"/>
      <c r="J37" s="22"/>
      <c r="K37" s="22"/>
      <c r="L37" s="22"/>
      <c r="M37" s="22"/>
      <c r="N37" s="22"/>
      <c r="O37" s="22"/>
    </row>
    <row r="38" spans="2:15" ht="12" customHeight="1" x14ac:dyDescent="0.2"/>
    <row r="39" spans="2:15" ht="12" customHeight="1" x14ac:dyDescent="0.2"/>
    <row r="40" spans="2:15" ht="12" customHeight="1" x14ac:dyDescent="0.2"/>
    <row r="41" spans="2:15" ht="12" customHeight="1" x14ac:dyDescent="0.2"/>
    <row r="42" spans="2:15" ht="12" customHeight="1" x14ac:dyDescent="0.2"/>
    <row r="43" spans="2:15" ht="12" customHeight="1" x14ac:dyDescent="0.2"/>
    <row r="44" spans="2:15" ht="3" customHeight="1" x14ac:dyDescent="0.2"/>
    <row r="45" spans="2:15" ht="12.75" customHeight="1" x14ac:dyDescent="0.2"/>
    <row r="46" spans="2:15" ht="12" customHeight="1" x14ac:dyDescent="0.2"/>
    <row r="47" spans="2:15" ht="12" customHeight="1" x14ac:dyDescent="0.2"/>
    <row r="48" spans="2:15" ht="12" customHeight="1" x14ac:dyDescent="0.2"/>
    <row r="49" ht="12" customHeight="1" x14ac:dyDescent="0.2"/>
    <row r="50" ht="12" customHeight="1" x14ac:dyDescent="0.2"/>
  </sheetData>
  <mergeCells count="3">
    <mergeCell ref="D1:M1"/>
    <mergeCell ref="D2:M2"/>
    <mergeCell ref="D3:M3"/>
  </mergeCells>
  <phoneticPr fontId="0" type="noConversion"/>
  <printOptions horizontalCentered="1"/>
  <pageMargins left="0.78740157480314965" right="0.78740157480314965" top="0.78740157480314965" bottom="0.78740157480314965" header="0.43307086614173229" footer="0.43307086614173229"/>
  <pageSetup paperSize="9" orientation="landscape" horizontalDpi="0" r:id="rId1"/>
  <headerFooter alignWithMargins="0">
    <oddFooter>&amp;L&amp;8BOKU / HVLFÖ&amp;C&amp;8DVR-Nr: 0890723&amp;R&amp;8&amp;D</oddFooter>
  </headerFooter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dimension ref="A1:O37"/>
  <sheetViews>
    <sheetView workbookViewId="0">
      <selection activeCell="D2" sqref="D2:M2"/>
    </sheetView>
  </sheetViews>
  <sheetFormatPr baseColWidth="10" defaultRowHeight="12.75" x14ac:dyDescent="0.2"/>
  <cols>
    <col min="1" max="1" width="0.85546875" customWidth="1"/>
    <col min="2" max="2" width="10.28515625" customWidth="1"/>
    <col min="3" max="3" width="8.7109375" customWidth="1"/>
    <col min="4" max="4" width="9.7109375" customWidth="1"/>
    <col min="5" max="5" width="8.5703125" customWidth="1"/>
    <col min="6" max="10" width="8.7109375" customWidth="1"/>
    <col min="11" max="11" width="8.5703125" customWidth="1"/>
    <col min="12" max="13" width="8.7109375" customWidth="1"/>
    <col min="14" max="14" width="8.5703125" customWidth="1"/>
    <col min="15" max="15" width="10.5703125" customWidth="1"/>
  </cols>
  <sheetData>
    <row r="1" spans="1:15" ht="15.75" customHeight="1" x14ac:dyDescent="0.25">
      <c r="A1" t="s">
        <v>48</v>
      </c>
      <c r="C1" s="12">
        <f>Input!A3</f>
        <v>2024</v>
      </c>
      <c r="D1" s="36" t="s">
        <v>12</v>
      </c>
      <c r="E1" s="36"/>
      <c r="F1" s="36"/>
      <c r="G1" s="36"/>
      <c r="H1" s="36"/>
      <c r="I1" s="36"/>
      <c r="J1" s="36"/>
      <c r="K1" s="36"/>
      <c r="L1" s="36"/>
      <c r="M1" s="36"/>
      <c r="O1" s="3" t="s">
        <v>13</v>
      </c>
    </row>
    <row r="2" spans="1:15" ht="15.75" customHeight="1" x14ac:dyDescent="0.2">
      <c r="D2" s="37" t="str">
        <f>Kenndat!D2</f>
        <v>Produktionsgebiet 1: Alpenvorland</v>
      </c>
      <c r="E2" s="37"/>
      <c r="F2" s="37"/>
      <c r="G2" s="37"/>
      <c r="H2" s="37"/>
      <c r="I2" s="37"/>
      <c r="J2" s="37"/>
      <c r="K2" s="37"/>
      <c r="L2" s="37"/>
      <c r="M2" s="37"/>
    </row>
    <row r="3" spans="1:15" ht="15.75" customHeight="1" x14ac:dyDescent="0.2">
      <c r="D3" s="38" t="s">
        <v>11</v>
      </c>
      <c r="E3" s="38"/>
      <c r="F3" s="38"/>
      <c r="G3" s="38"/>
      <c r="H3" s="38"/>
      <c r="I3" s="38"/>
      <c r="J3" s="38"/>
      <c r="K3" s="38"/>
      <c r="L3" s="38"/>
      <c r="M3" s="38"/>
    </row>
    <row r="4" spans="1:15" ht="30" customHeight="1" x14ac:dyDescent="0.2"/>
    <row r="5" spans="1:15" x14ac:dyDescent="0.2">
      <c r="E5" s="3">
        <f>Input!A3</f>
        <v>2024</v>
      </c>
      <c r="F5" s="3">
        <f t="shared" ref="F5:N5" si="0">+E5-1</f>
        <v>2023</v>
      </c>
      <c r="G5" s="3">
        <f t="shared" si="0"/>
        <v>2022</v>
      </c>
      <c r="H5" s="3">
        <f t="shared" si="0"/>
        <v>2021</v>
      </c>
      <c r="I5" s="3">
        <f t="shared" si="0"/>
        <v>2020</v>
      </c>
      <c r="J5" s="3">
        <f t="shared" si="0"/>
        <v>2019</v>
      </c>
      <c r="K5" s="3">
        <f t="shared" si="0"/>
        <v>2018</v>
      </c>
      <c r="L5" s="3">
        <f t="shared" si="0"/>
        <v>2017</v>
      </c>
      <c r="M5" s="3">
        <f t="shared" si="0"/>
        <v>2016</v>
      </c>
      <c r="N5" s="3">
        <f t="shared" si="0"/>
        <v>2015</v>
      </c>
      <c r="O5" s="3" t="s">
        <v>16</v>
      </c>
    </row>
    <row r="6" spans="1:15" ht="7.5" customHeight="1" x14ac:dyDescent="0.2">
      <c r="E6" s="3"/>
      <c r="F6" s="3"/>
      <c r="G6" s="3"/>
      <c r="H6" s="3"/>
      <c r="I6" s="3"/>
      <c r="J6" s="3"/>
      <c r="K6" s="3"/>
      <c r="L6" s="3"/>
      <c r="M6" s="3"/>
      <c r="N6" s="3"/>
      <c r="O6" s="3"/>
    </row>
    <row r="7" spans="1:15" ht="13.5" customHeight="1" x14ac:dyDescent="0.2">
      <c r="A7" s="4" t="s">
        <v>3</v>
      </c>
      <c r="E7" s="3"/>
      <c r="F7" s="3"/>
      <c r="G7" s="3"/>
      <c r="H7" s="3"/>
      <c r="I7" s="3"/>
      <c r="J7" s="3"/>
      <c r="K7" s="3"/>
      <c r="L7" s="3"/>
      <c r="M7" s="3"/>
      <c r="N7" s="3"/>
      <c r="O7" s="3"/>
    </row>
    <row r="8" spans="1:15" ht="6" customHeight="1" x14ac:dyDescent="0.2">
      <c r="A8" s="4"/>
      <c r="E8" s="3"/>
      <c r="F8" s="3"/>
      <c r="G8" s="3"/>
      <c r="H8" s="3"/>
      <c r="I8" s="3"/>
      <c r="J8" s="3"/>
      <c r="K8" s="3"/>
      <c r="L8" s="3"/>
      <c r="M8" s="3"/>
      <c r="N8" s="3"/>
      <c r="O8" s="3"/>
    </row>
    <row r="9" spans="1:15" ht="12" customHeight="1" x14ac:dyDescent="0.2">
      <c r="B9" t="s">
        <v>179</v>
      </c>
      <c r="E9" s="22">
        <f>Input!A132/Input!A$27*100</f>
        <v>99.303954388426689</v>
      </c>
      <c r="F9" s="22">
        <f>Input!B132/Input!B$27*100</f>
        <v>98.937891844343</v>
      </c>
      <c r="G9" s="22">
        <f>Input!C132/Input!C$27*100</f>
        <v>103.72566593016211</v>
      </c>
      <c r="H9" s="22">
        <f>Input!D132/Input!D$27*100</f>
        <v>100.42809879950165</v>
      </c>
      <c r="I9" s="22">
        <f>Input!E132/Input!E$27*100</f>
        <v>101.95372704937643</v>
      </c>
      <c r="J9" s="22">
        <f>Input!F132/Input!F$27*100</f>
        <v>98.103848352207592</v>
      </c>
      <c r="K9" s="22">
        <f>Input!G132/Input!G$27*100</f>
        <v>98.757483606100223</v>
      </c>
      <c r="L9" s="22">
        <f>Input!H132/Input!H$27*100</f>
        <v>99.954855971993311</v>
      </c>
      <c r="M9" s="22">
        <f>Input!I132/Input!I$27*100</f>
        <v>94.153179933196711</v>
      </c>
      <c r="N9" s="22">
        <f>Input!J132/Input!J$27*100</f>
        <v>101.18102188387468</v>
      </c>
      <c r="O9" s="22">
        <f>AVERAGE(E9:N9)</f>
        <v>99.649972775918243</v>
      </c>
    </row>
    <row r="10" spans="1:15" ht="12" customHeight="1" x14ac:dyDescent="0.2">
      <c r="B10" t="s">
        <v>180</v>
      </c>
      <c r="E10" s="22">
        <f>Input!A133/Input!A$27*100</f>
        <v>1.1796867676597713</v>
      </c>
      <c r="F10" s="22">
        <f>Input!B133/Input!B$27*100</f>
        <v>1.3288046997816021</v>
      </c>
      <c r="G10" s="22">
        <f>Input!C133/Input!C$27*100</f>
        <v>-3.6424603793173951</v>
      </c>
      <c r="H10" s="22">
        <f>Input!D133/Input!D$27*100</f>
        <v>0.56605835805613425</v>
      </c>
      <c r="I10" s="22">
        <f>Input!E133/Input!E$27*100</f>
        <v>-1.9835891838670456</v>
      </c>
      <c r="J10" s="22">
        <f>Input!F133/Input!F$27*100</f>
        <v>1.6373907438975039</v>
      </c>
      <c r="K10" s="22">
        <f>Input!G133/Input!G$27*100</f>
        <v>1.1254859190635962</v>
      </c>
      <c r="L10" s="22">
        <f>Input!H133/Input!H$27*100</f>
        <v>-0.82866009020818177</v>
      </c>
      <c r="M10" s="22">
        <f>Input!I133/Input!I$27*100</f>
        <v>5.7194750943661532</v>
      </c>
      <c r="N10" s="22">
        <f>Input!J133/Input!J$27*100</f>
        <v>-1.4703393413843744</v>
      </c>
      <c r="O10" s="22">
        <f>AVERAGE(E10:N10)</f>
        <v>0.36318525880477648</v>
      </c>
    </row>
    <row r="11" spans="1:15" ht="12" customHeight="1" x14ac:dyDescent="0.2">
      <c r="B11" t="s">
        <v>181</v>
      </c>
      <c r="E11" s="22">
        <f>Input!A134/Input!A$27*100</f>
        <v>0.28242870902709744</v>
      </c>
      <c r="F11" s="22">
        <f>Input!B134/Input!B$27*100</f>
        <v>0.12994338471978312</v>
      </c>
      <c r="G11" s="22">
        <f>Input!C134/Input!C$27*100</f>
        <v>0.27077022664014722</v>
      </c>
      <c r="H11" s="22">
        <f>Input!D134/Input!D$27*100</f>
        <v>0.31860930569473239</v>
      </c>
      <c r="I11" s="22">
        <f>Input!E134/Input!E$27*100</f>
        <v>2.9862134490631992E-2</v>
      </c>
      <c r="J11" s="22">
        <f>Input!F134/Input!F$27*100</f>
        <v>0.25876090389490858</v>
      </c>
      <c r="K11" s="22">
        <f>Input!G134/Input!G$27*100</f>
        <v>0.11703047483618578</v>
      </c>
      <c r="L11" s="22">
        <f>Input!H134/Input!H$27*100</f>
        <v>0.88747974552014985</v>
      </c>
      <c r="M11" s="22">
        <f>Input!I134/Input!I$27*100</f>
        <v>0.12734497243712681</v>
      </c>
      <c r="N11" s="22">
        <f>Input!J134/Input!J$27*100</f>
        <v>0.2893174575096934</v>
      </c>
      <c r="O11" s="22">
        <f>AVERAGE(E11:N11)</f>
        <v>0.27115473147704561</v>
      </c>
    </row>
    <row r="12" spans="1:15" ht="12" customHeight="1" x14ac:dyDescent="0.2">
      <c r="B12" t="s">
        <v>182</v>
      </c>
      <c r="E12" s="22">
        <f>Input!A135/Input!A$27*100</f>
        <v>-0.76606986511356734</v>
      </c>
      <c r="F12" s="22">
        <f>Input!B135/Input!B$27*100</f>
        <v>-0.39663992884437316</v>
      </c>
      <c r="G12" s="22">
        <f>Input!C135/Input!C$27*100</f>
        <v>-0.35397577748484416</v>
      </c>
      <c r="H12" s="22">
        <f>Input!D135/Input!D$27*100</f>
        <v>-1.3127664632525258</v>
      </c>
      <c r="I12" s="22">
        <f>Input!E135/Input!E$27*100</f>
        <v>0</v>
      </c>
      <c r="J12" s="22">
        <f>Input!F135/Input!F$27*100</f>
        <v>0</v>
      </c>
      <c r="K12" s="22">
        <f>Input!G135/Input!G$27*100</f>
        <v>0</v>
      </c>
      <c r="L12" s="22">
        <f>Input!H135/Input!H$27*100</f>
        <v>-1.367562730527239E-2</v>
      </c>
      <c r="M12" s="22">
        <f>Input!I135/Input!I$27*100</f>
        <v>0</v>
      </c>
      <c r="N12" s="22">
        <f>Input!J135/Input!J$27*100</f>
        <v>0</v>
      </c>
      <c r="O12" s="22">
        <f>AVERAGE(E12:N12)</f>
        <v>-0.2843127662000583</v>
      </c>
    </row>
    <row r="13" spans="1:15" x14ac:dyDescent="0.2">
      <c r="B13" s="19"/>
      <c r="E13" s="22"/>
      <c r="F13" s="22"/>
      <c r="G13" s="22"/>
      <c r="H13" s="22"/>
      <c r="I13" s="22"/>
      <c r="J13" s="22"/>
      <c r="K13" s="22"/>
      <c r="L13" s="22"/>
      <c r="M13" s="22"/>
      <c r="N13" s="22"/>
      <c r="O13" s="22"/>
    </row>
    <row r="14" spans="1:15" ht="13.5" customHeight="1" x14ac:dyDescent="0.2">
      <c r="A14" s="21" t="s">
        <v>4</v>
      </c>
      <c r="B14" s="5"/>
      <c r="C14" s="5"/>
      <c r="D14" s="5"/>
      <c r="E14" s="23"/>
      <c r="F14" s="23"/>
      <c r="G14" s="23"/>
      <c r="H14" s="23"/>
      <c r="I14" s="23"/>
      <c r="J14" s="23"/>
      <c r="K14" s="23"/>
      <c r="L14" s="23"/>
      <c r="M14" s="23"/>
      <c r="N14" s="23"/>
      <c r="O14" s="23"/>
    </row>
    <row r="15" spans="1:15" ht="6" customHeight="1" x14ac:dyDescent="0.2">
      <c r="A15" s="21"/>
      <c r="B15" s="5"/>
      <c r="C15" s="5"/>
      <c r="D15" s="5"/>
      <c r="E15" s="23"/>
      <c r="F15" s="23"/>
      <c r="G15" s="23"/>
      <c r="H15" s="23"/>
      <c r="I15" s="23"/>
      <c r="J15" s="23"/>
      <c r="K15" s="23"/>
      <c r="L15" s="23"/>
      <c r="M15" s="23"/>
      <c r="N15" s="23"/>
      <c r="O15" s="23"/>
    </row>
    <row r="16" spans="1:15" ht="12" customHeight="1" x14ac:dyDescent="0.2">
      <c r="B16" t="s">
        <v>231</v>
      </c>
      <c r="E16" s="22">
        <f>Input!A188/Input!A$132*100</f>
        <v>2.5674865549670502</v>
      </c>
      <c r="F16" s="22">
        <f>Input!B188/Input!B$132*100</f>
        <v>5.7257961177843546</v>
      </c>
      <c r="G16" s="22">
        <f>Input!C188/Input!C$132*100</f>
        <v>3.2730460054654973</v>
      </c>
      <c r="H16" s="22">
        <f>Input!D188/Input!D$132*100</f>
        <v>2.651917230529993</v>
      </c>
      <c r="I16" s="22">
        <f>Input!E188/Input!E$132*100</f>
        <v>3.6416073182899975</v>
      </c>
      <c r="J16" s="22">
        <f>Input!F188/Input!F$132*100</f>
        <v>2.6227219825799413</v>
      </c>
      <c r="K16" s="22">
        <f>Input!G188/Input!G$132*100</f>
        <v>2.5858552630745004</v>
      </c>
      <c r="L16" s="22">
        <f>Input!H188/Input!H$132*100</f>
        <v>1.5620407581898137</v>
      </c>
      <c r="M16" s="22">
        <f>Input!I188/Input!I$132*100</f>
        <v>3.75429870003371</v>
      </c>
      <c r="N16" s="22">
        <f>Input!J188/Input!J$132*100</f>
        <v>3.9038432396180678</v>
      </c>
      <c r="O16" s="22">
        <f t="shared" ref="O16:O22" si="1">AVERAGE(E16:N16)</f>
        <v>3.2288613170532927</v>
      </c>
    </row>
    <row r="17" spans="1:15" ht="12" customHeight="1" x14ac:dyDescent="0.2">
      <c r="B17" t="s">
        <v>232</v>
      </c>
      <c r="E17" s="22">
        <f>Input!A189/Input!A$132*100</f>
        <v>0</v>
      </c>
      <c r="F17" s="22">
        <f>Input!B189/Input!B$132*100</f>
        <v>0</v>
      </c>
      <c r="G17" s="22">
        <f>Input!C189/Input!C$132*100</f>
        <v>0</v>
      </c>
      <c r="H17" s="22">
        <f>Input!D189/Input!D$132*100</f>
        <v>0</v>
      </c>
      <c r="I17" s="22">
        <f>Input!E189/Input!E$132*100</f>
        <v>0</v>
      </c>
      <c r="J17" s="22">
        <f>Input!F189/Input!F$132*100</f>
        <v>0</v>
      </c>
      <c r="K17" s="22">
        <f>Input!G189/Input!G$132*100</f>
        <v>0</v>
      </c>
      <c r="L17" s="22">
        <f>Input!H189/Input!H$132*100</f>
        <v>0</v>
      </c>
      <c r="M17" s="22">
        <f>Input!I189/Input!I$132*100</f>
        <v>0</v>
      </c>
      <c r="N17" s="22">
        <f>Input!J189/Input!J$132*100</f>
        <v>0</v>
      </c>
      <c r="O17" s="22">
        <f t="shared" si="1"/>
        <v>0</v>
      </c>
    </row>
    <row r="18" spans="1:15" ht="12" customHeight="1" x14ac:dyDescent="0.2">
      <c r="B18" t="s">
        <v>233</v>
      </c>
      <c r="E18" s="22">
        <f>Input!A190/Input!A$132*100</f>
        <v>74.965677035919299</v>
      </c>
      <c r="F18" s="22">
        <f>Input!B190/Input!B$132*100</f>
        <v>91.447195032121257</v>
      </c>
      <c r="G18" s="22">
        <f>Input!C190/Input!C$132*100</f>
        <v>94.62227821745752</v>
      </c>
      <c r="H18" s="22">
        <f>Input!D190/Input!D$132*100</f>
        <v>96.10199819427217</v>
      </c>
      <c r="I18" s="22">
        <f>Input!E190/Input!E$132*100</f>
        <v>96.358392681710001</v>
      </c>
      <c r="J18" s="22">
        <f>Input!F190/Input!F$132*100</f>
        <v>97.377278017420068</v>
      </c>
      <c r="K18" s="22">
        <f>Input!G190/Input!G$132*100</f>
        <v>92.085757824963963</v>
      </c>
      <c r="L18" s="22">
        <f>Input!H190/Input!H$132*100</f>
        <v>92.658908974924387</v>
      </c>
      <c r="M18" s="22">
        <f>Input!I190/Input!I$132*100</f>
        <v>96.245701299966285</v>
      </c>
      <c r="N18" s="22">
        <f>Input!J190/Input!J$132*100</f>
        <v>93.77778460418655</v>
      </c>
      <c r="O18" s="22">
        <f t="shared" si="1"/>
        <v>92.564097188294141</v>
      </c>
    </row>
    <row r="19" spans="1:15" ht="12" customHeight="1" x14ac:dyDescent="0.2">
      <c r="B19" t="s">
        <v>234</v>
      </c>
      <c r="E19" s="22">
        <f>Input!A191/Input!A$132*100</f>
        <v>0</v>
      </c>
      <c r="F19" s="22">
        <f>Input!B191/Input!B$132*100</f>
        <v>0</v>
      </c>
      <c r="G19" s="22">
        <f>Input!C191/Input!C$132*100</f>
        <v>0</v>
      </c>
      <c r="H19" s="22">
        <f>Input!D191/Input!D$132*100</f>
        <v>0</v>
      </c>
      <c r="I19" s="22">
        <f>Input!E191/Input!E$132*100</f>
        <v>0</v>
      </c>
      <c r="J19" s="22">
        <f>Input!F191/Input!F$132*100</f>
        <v>0</v>
      </c>
      <c r="K19" s="22">
        <f>Input!G191/Input!G$132*100</f>
        <v>0</v>
      </c>
      <c r="L19" s="22">
        <f>Input!H191/Input!H$132*100</f>
        <v>0</v>
      </c>
      <c r="M19" s="22">
        <f>Input!I191/Input!I$132*100</f>
        <v>0</v>
      </c>
      <c r="N19" s="22">
        <f>Input!J191/Input!J$132*100</f>
        <v>2.3183721561953701</v>
      </c>
      <c r="O19" s="22">
        <f t="shared" si="1"/>
        <v>0.23183721561953702</v>
      </c>
    </row>
    <row r="20" spans="1:15" ht="12" customHeight="1" x14ac:dyDescent="0.2">
      <c r="B20" t="s">
        <v>235</v>
      </c>
      <c r="E20" s="22">
        <f>Input!A192/Input!A$132*100</f>
        <v>10.534073897762511</v>
      </c>
      <c r="F20" s="22">
        <f>Input!B192/Input!B$132*100</f>
        <v>0</v>
      </c>
      <c r="G20" s="22">
        <f>Input!C192/Input!C$132*100</f>
        <v>0</v>
      </c>
      <c r="H20" s="22">
        <f>Input!D192/Input!D$132*100</f>
        <v>-3.1235451915346425E-2</v>
      </c>
      <c r="I20" s="22">
        <f>Input!E192/Input!E$132*100</f>
        <v>0</v>
      </c>
      <c r="J20" s="22">
        <f>Input!F192/Input!F$132*100</f>
        <v>0</v>
      </c>
      <c r="K20" s="22">
        <f>Input!G192/Input!G$132*100</f>
        <v>0</v>
      </c>
      <c r="L20" s="22">
        <f>Input!H192/Input!H$132*100</f>
        <v>0</v>
      </c>
      <c r="M20" s="22">
        <f>Input!I192/Input!I$132*100</f>
        <v>0</v>
      </c>
      <c r="N20" s="22">
        <f>Input!J192/Input!J$132*100</f>
        <v>0</v>
      </c>
      <c r="O20" s="22">
        <f t="shared" si="1"/>
        <v>1.0502838445847165</v>
      </c>
    </row>
    <row r="21" spans="1:15" ht="12" customHeight="1" x14ac:dyDescent="0.2">
      <c r="B21" t="s">
        <v>236</v>
      </c>
      <c r="E21" s="22">
        <f>Input!A193/Input!A$132*100</f>
        <v>11.932762511351143</v>
      </c>
      <c r="F21" s="22">
        <f>Input!B193/Input!B$132*100</f>
        <v>2.8270088500943906</v>
      </c>
      <c r="G21" s="22">
        <f>Input!C193/Input!C$132*100</f>
        <v>2.1046757770769799</v>
      </c>
      <c r="H21" s="22">
        <f>Input!D193/Input!D$132*100</f>
        <v>1.2773200271132004</v>
      </c>
      <c r="I21" s="22">
        <f>Input!E193/Input!E$132*100</f>
        <v>0</v>
      </c>
      <c r="J21" s="22">
        <f>Input!F193/Input!F$132*100</f>
        <v>0</v>
      </c>
      <c r="K21" s="22">
        <f>Input!G193/Input!G$132*100</f>
        <v>5.3283869119615179</v>
      </c>
      <c r="L21" s="22">
        <f>Input!H193/Input!H$132*100</f>
        <v>5.7790502668858057</v>
      </c>
      <c r="M21" s="22">
        <f>Input!I193/Input!I$132*100</f>
        <v>0</v>
      </c>
      <c r="N21" s="22">
        <f>Input!J193/Input!J$132*100</f>
        <v>0</v>
      </c>
      <c r="O21" s="22">
        <f t="shared" si="1"/>
        <v>2.9249204344483042</v>
      </c>
    </row>
    <row r="22" spans="1:15" ht="12" customHeight="1" x14ac:dyDescent="0.2">
      <c r="B22" t="s">
        <v>237</v>
      </c>
      <c r="E22" s="22">
        <f>Input!A194/Input!A$132*100</f>
        <v>0</v>
      </c>
      <c r="F22" s="22">
        <f>Input!B194/Input!B$132*100</f>
        <v>0</v>
      </c>
      <c r="G22" s="22">
        <f>Input!C194/Input!C$132*100</f>
        <v>0</v>
      </c>
      <c r="H22" s="22">
        <f>Input!D194/Input!D$132*100</f>
        <v>0</v>
      </c>
      <c r="I22" s="22">
        <f>Input!E194/Input!E$132*100</f>
        <v>0</v>
      </c>
      <c r="J22" s="22">
        <f>Input!F194/Input!F$132*100</f>
        <v>0</v>
      </c>
      <c r="K22" s="22">
        <f>Input!G194/Input!G$132*100</f>
        <v>0</v>
      </c>
      <c r="L22" s="22">
        <f>Input!H194/Input!H$132*100</f>
        <v>0</v>
      </c>
      <c r="M22" s="22">
        <f>Input!I194/Input!I$132*100</f>
        <v>0</v>
      </c>
      <c r="N22" s="22">
        <f>Input!J194/Input!J$132*100</f>
        <v>0</v>
      </c>
      <c r="O22" s="22">
        <f t="shared" si="1"/>
        <v>0</v>
      </c>
    </row>
    <row r="23" spans="1:15" x14ac:dyDescent="0.2">
      <c r="E23" s="22"/>
      <c r="F23" s="22"/>
      <c r="G23" s="22"/>
      <c r="H23" s="22"/>
      <c r="I23" s="22"/>
      <c r="J23" s="22"/>
      <c r="K23" s="22"/>
      <c r="L23" s="22"/>
      <c r="M23" s="22"/>
      <c r="N23" s="22"/>
      <c r="O23" s="22"/>
    </row>
    <row r="24" spans="1:15" ht="13.5" customHeight="1" x14ac:dyDescent="0.2">
      <c r="A24" s="4" t="s">
        <v>5</v>
      </c>
      <c r="E24" s="23"/>
      <c r="F24" s="23"/>
      <c r="G24" s="23"/>
      <c r="H24" s="23"/>
      <c r="I24" s="23"/>
      <c r="J24" s="23"/>
      <c r="K24" s="23"/>
      <c r="L24" s="23"/>
      <c r="M24" s="23"/>
      <c r="N24" s="23"/>
      <c r="O24" s="23"/>
    </row>
    <row r="25" spans="1:15" ht="6" customHeight="1" x14ac:dyDescent="0.2">
      <c r="A25" s="4"/>
      <c r="E25" s="23"/>
      <c r="F25" s="23"/>
      <c r="G25" s="23"/>
      <c r="H25" s="23"/>
      <c r="I25" s="23"/>
      <c r="J25" s="23"/>
      <c r="K25" s="23"/>
      <c r="L25" s="23"/>
      <c r="M25" s="23"/>
      <c r="N25" s="23"/>
      <c r="O25" s="23"/>
    </row>
    <row r="26" spans="1:15" ht="12" customHeight="1" x14ac:dyDescent="0.2">
      <c r="B26" t="s">
        <v>238</v>
      </c>
      <c r="E26" s="22">
        <f>Input!A195/Input!A$132*100</f>
        <v>60.237387693011478</v>
      </c>
      <c r="F26" s="22">
        <f>Input!B195/Input!B$132*100</f>
        <v>54.921845583743377</v>
      </c>
      <c r="G26" s="22">
        <f>Input!C195/Input!C$132*100</f>
        <v>56.301833188838216</v>
      </c>
      <c r="H26" s="22">
        <f>Input!D195/Input!D$132*100</f>
        <v>58.843146739957987</v>
      </c>
      <c r="I26" s="22">
        <f>Input!E195/Input!E$132*100</f>
        <v>52.433517640205082</v>
      </c>
      <c r="J26" s="22">
        <f>Input!F195/Input!F$132*100</f>
        <v>46.940008659584088</v>
      </c>
      <c r="K26" s="22">
        <f>Input!G195/Input!G$132*100</f>
        <v>46.234694595259562</v>
      </c>
      <c r="L26" s="22">
        <f>Input!H195/Input!H$132*100</f>
        <v>45.312804184045454</v>
      </c>
      <c r="M26" s="22">
        <f>Input!I195/Input!I$132*100</f>
        <v>48.030777313231241</v>
      </c>
      <c r="N26" s="22">
        <f>Input!J195/Input!J$132*100</f>
        <v>67.451244194111055</v>
      </c>
      <c r="O26" s="22">
        <f>AVERAGE(E26:N26)</f>
        <v>53.670725979198757</v>
      </c>
    </row>
    <row r="27" spans="1:15" ht="12" customHeight="1" x14ac:dyDescent="0.2">
      <c r="B27" t="s">
        <v>239</v>
      </c>
      <c r="E27" s="22">
        <f>Input!A196/Input!A$132*100</f>
        <v>39.762612306988515</v>
      </c>
      <c r="F27" s="22">
        <f>Input!B196/Input!B$132*100</f>
        <v>45.078154416256631</v>
      </c>
      <c r="G27" s="22">
        <f>Input!C196/Input!C$132*100</f>
        <v>43.698166811161784</v>
      </c>
      <c r="H27" s="22">
        <f>Input!D196/Input!D$132*100</f>
        <v>41.15685326004202</v>
      </c>
      <c r="I27" s="22">
        <f>Input!E196/Input!E$132*100</f>
        <v>47.566482359794904</v>
      </c>
      <c r="J27" s="22">
        <f>Input!F196/Input!F$132*100</f>
        <v>53.059991340415912</v>
      </c>
      <c r="K27" s="22">
        <f>Input!G196/Input!G$132*100</f>
        <v>53.765305404740424</v>
      </c>
      <c r="L27" s="22">
        <f>Input!H196/Input!H$132*100</f>
        <v>54.687195815954539</v>
      </c>
      <c r="M27" s="22">
        <f>Input!I196/Input!I$132*100</f>
        <v>51.969222686768767</v>
      </c>
      <c r="N27" s="22">
        <f>Input!J196/Input!J$132*100</f>
        <v>32.548755805888945</v>
      </c>
      <c r="O27" s="22">
        <f>AVERAGE(E27:N27)</f>
        <v>46.32927402080125</v>
      </c>
    </row>
    <row r="28" spans="1:15" x14ac:dyDescent="0.2">
      <c r="E28" s="22"/>
      <c r="F28" s="22"/>
      <c r="G28" s="22"/>
      <c r="H28" s="22"/>
      <c r="I28" s="22"/>
      <c r="J28" s="22"/>
      <c r="K28" s="22"/>
      <c r="L28" s="22"/>
      <c r="M28" s="22"/>
      <c r="N28" s="22"/>
      <c r="O28" s="22"/>
    </row>
    <row r="29" spans="1:15" ht="13.5" customHeight="1" x14ac:dyDescent="0.2">
      <c r="A29" s="4" t="s">
        <v>6</v>
      </c>
      <c r="E29" s="23"/>
      <c r="F29" s="23"/>
      <c r="G29" s="23"/>
      <c r="H29" s="23"/>
      <c r="I29" s="23"/>
      <c r="J29" s="23"/>
      <c r="K29" s="23"/>
      <c r="L29" s="23"/>
      <c r="M29" s="23"/>
      <c r="N29" s="23"/>
      <c r="O29" s="23"/>
    </row>
    <row r="30" spans="1:15" ht="6" customHeight="1" x14ac:dyDescent="0.2">
      <c r="A30" s="4"/>
      <c r="E30" s="23"/>
      <c r="F30" s="23"/>
      <c r="G30" s="23"/>
      <c r="H30" s="23"/>
      <c r="I30" s="23"/>
      <c r="J30" s="23"/>
      <c r="K30" s="23"/>
      <c r="L30" s="23"/>
      <c r="M30" s="23"/>
      <c r="N30" s="23"/>
      <c r="O30" s="23"/>
    </row>
    <row r="31" spans="1:15" ht="12" customHeight="1" x14ac:dyDescent="0.2">
      <c r="B31" t="s">
        <v>293</v>
      </c>
      <c r="E31" s="22">
        <f>Input!A197/Input!A$132*100</f>
        <v>49.325835431999955</v>
      </c>
      <c r="F31" s="22">
        <f>Input!B197/Input!B$132*100</f>
        <v>51.446632612063958</v>
      </c>
      <c r="G31" s="22">
        <f>Input!C197/Input!C$132*100</f>
        <v>62.920667071957666</v>
      </c>
      <c r="H31" s="22">
        <f>Input!D197/Input!D$132*100</f>
        <v>64.422186748683302</v>
      </c>
      <c r="I31" s="22">
        <f>Input!E197/Input!E$132*100</f>
        <v>57.152120982238216</v>
      </c>
      <c r="J31" s="22">
        <f>Input!F197/Input!F$132*100</f>
        <v>55.36675971456669</v>
      </c>
      <c r="K31" s="22">
        <f>Input!G197/Input!G$132*100</f>
        <v>54.454231824524371</v>
      </c>
      <c r="L31" s="22">
        <f>Input!H197/Input!H$132*100</f>
        <v>53.357279850137608</v>
      </c>
      <c r="M31" s="22">
        <f>Input!I197/Input!I$132*100</f>
        <v>67.37643546816777</v>
      </c>
      <c r="N31" s="22">
        <f>Input!J197/Input!J$132*100</f>
        <v>72.412145186621103</v>
      </c>
      <c r="O31" s="22">
        <f>AVERAGE(E31:N31)</f>
        <v>58.823429489096064</v>
      </c>
    </row>
    <row r="32" spans="1:15" ht="12" customHeight="1" x14ac:dyDescent="0.2">
      <c r="B32" t="s">
        <v>7</v>
      </c>
      <c r="E32" s="22">
        <f>Input!A198/Input!A$132*100</f>
        <v>0.48040880322201474</v>
      </c>
      <c r="F32" s="22">
        <f>Input!B198/Input!B$132*100</f>
        <v>0.16949875348869922</v>
      </c>
      <c r="G32" s="22">
        <f>Input!C198/Input!C$132*100</f>
        <v>2.8387080775902008E-2</v>
      </c>
      <c r="H32" s="22">
        <f>Input!D198/Input!D$132*100</f>
        <v>3.1031233076717856E-2</v>
      </c>
      <c r="I32" s="22">
        <f>Input!E198/Input!E$132*100</f>
        <v>0.5331425396247812</v>
      </c>
      <c r="J32" s="22">
        <f>Input!F198/Input!F$132*100</f>
        <v>1.688835866750556E-2</v>
      </c>
      <c r="K32" s="22">
        <f>Input!G198/Input!G$132*100</f>
        <v>0.10675272329180115</v>
      </c>
      <c r="L32" s="22">
        <f>Input!H198/Input!H$132*100</f>
        <v>0.11411397044913468</v>
      </c>
      <c r="M32" s="22">
        <f>Input!I198/Input!I$132*100</f>
        <v>2.0556672639407903E-2</v>
      </c>
      <c r="N32" s="22">
        <f>Input!J198/Input!J$132*100</f>
        <v>9.7061944887650384E-3</v>
      </c>
      <c r="O32" s="22">
        <f>AVERAGE(E32:N32)</f>
        <v>0.15104863297247295</v>
      </c>
    </row>
    <row r="33" spans="2:15" ht="12" customHeight="1" x14ac:dyDescent="0.2">
      <c r="B33" s="14" t="s">
        <v>294</v>
      </c>
      <c r="E33" s="32">
        <f>SUM(E31:E32)</f>
        <v>49.806244235221968</v>
      </c>
      <c r="F33" s="32">
        <f t="shared" ref="F33:O33" si="2">SUM(F31:F32)</f>
        <v>51.616131365552654</v>
      </c>
      <c r="G33" s="32">
        <f t="shared" si="2"/>
        <v>62.949054152733567</v>
      </c>
      <c r="H33" s="32">
        <f t="shared" si="2"/>
        <v>64.453217981760019</v>
      </c>
      <c r="I33" s="32">
        <f t="shared" si="2"/>
        <v>57.685263521863</v>
      </c>
      <c r="J33" s="32">
        <f t="shared" si="2"/>
        <v>55.383648073234198</v>
      </c>
      <c r="K33" s="32">
        <f t="shared" si="2"/>
        <v>54.560984547816169</v>
      </c>
      <c r="L33" s="32">
        <f t="shared" si="2"/>
        <v>53.471393820586741</v>
      </c>
      <c r="M33" s="32">
        <f t="shared" si="2"/>
        <v>67.396992140807171</v>
      </c>
      <c r="N33" s="32">
        <f t="shared" si="2"/>
        <v>72.421851381109875</v>
      </c>
      <c r="O33" s="32">
        <f t="shared" si="2"/>
        <v>58.97447812206854</v>
      </c>
    </row>
    <row r="34" spans="2:15" ht="12" customHeight="1" x14ac:dyDescent="0.2">
      <c r="B34" t="s">
        <v>8</v>
      </c>
      <c r="E34" s="22">
        <f>Input!A199/Input!A$132*100</f>
        <v>17.469391834011972</v>
      </c>
      <c r="F34" s="22">
        <f>Input!B199/Input!B$132*100</f>
        <v>20.24772526596265</v>
      </c>
      <c r="G34" s="22">
        <f>Input!C199/Input!C$132*100</f>
        <v>18.663197416044571</v>
      </c>
      <c r="H34" s="22">
        <f>Input!D199/Input!D$132*100</f>
        <v>15.197776195668</v>
      </c>
      <c r="I34" s="22">
        <f>Input!E199/Input!E$132*100</f>
        <v>19.879421198181689</v>
      </c>
      <c r="J34" s="22">
        <f>Input!F199/Input!F$132*100</f>
        <v>19.670023698486919</v>
      </c>
      <c r="K34" s="22">
        <f>Input!G199/Input!G$132*100</f>
        <v>21.751218978570368</v>
      </c>
      <c r="L34" s="22">
        <f>Input!H199/Input!H$132*100</f>
        <v>23.445325827052763</v>
      </c>
      <c r="M34" s="22">
        <f>Input!I199/Input!I$132*100</f>
        <v>20.58013910905942</v>
      </c>
      <c r="N34" s="22">
        <f>Input!J199/Input!J$132*100</f>
        <v>14.546083712490629</v>
      </c>
      <c r="O34" s="22">
        <f>AVERAGE(E34:N34)</f>
        <v>19.145030323552895</v>
      </c>
    </row>
    <row r="35" spans="2:15" ht="12" customHeight="1" x14ac:dyDescent="0.2">
      <c r="B35" t="s">
        <v>243</v>
      </c>
      <c r="E35" s="22">
        <f>Input!A200/Input!A$132*100</f>
        <v>32.724363930766067</v>
      </c>
      <c r="F35" s="22">
        <f>Input!B200/Input!B$132*100</f>
        <v>28.136143368484696</v>
      </c>
      <c r="G35" s="22">
        <f>Input!C200/Input!C$132*100</f>
        <v>18.387748431221844</v>
      </c>
      <c r="H35" s="22">
        <f>Input!D200/Input!D$132*100</f>
        <v>20.349005822571979</v>
      </c>
      <c r="I35" s="22">
        <f>Input!E200/Input!E$132*100</f>
        <v>22.435315279955315</v>
      </c>
      <c r="J35" s="22">
        <f>Input!F200/Input!F$132*100</f>
        <v>24.946328228278887</v>
      </c>
      <c r="K35" s="22">
        <f>Input!G200/Input!G$132*100</f>
        <v>23.687796473613449</v>
      </c>
      <c r="L35" s="22">
        <f>Input!H200/Input!H$132*100</f>
        <v>23.083280352360489</v>
      </c>
      <c r="M35" s="22">
        <f>Input!I200/Input!I$132*100</f>
        <v>12.022868750133405</v>
      </c>
      <c r="N35" s="22">
        <f>Input!J200/Input!J$132*100</f>
        <v>13.032064906399512</v>
      </c>
      <c r="O35" s="22">
        <f>AVERAGE(E35:N35)</f>
        <v>21.880491554378562</v>
      </c>
    </row>
    <row r="36" spans="2:15" ht="12" customHeight="1" x14ac:dyDescent="0.2">
      <c r="B36" t="s">
        <v>244</v>
      </c>
      <c r="E36" s="22">
        <f>Input!A201/Input!A$132*100</f>
        <v>0</v>
      </c>
      <c r="F36" s="22">
        <f>Input!B201/Input!B$132*100</f>
        <v>0</v>
      </c>
      <c r="G36" s="22">
        <f>Input!C201/Input!C$132*100</f>
        <v>0</v>
      </c>
      <c r="H36" s="22">
        <f>Input!D201/Input!D$132*100</f>
        <v>0</v>
      </c>
      <c r="I36" s="22">
        <f>Input!E201/Input!E$132*100</f>
        <v>0</v>
      </c>
      <c r="J36" s="22">
        <f>Input!F201/Input!F$132*100</f>
        <v>0</v>
      </c>
      <c r="K36" s="22">
        <f>Input!G201/Input!G$132*100</f>
        <v>0</v>
      </c>
      <c r="L36" s="22">
        <f>Input!H201/Input!H$132*100</f>
        <v>0</v>
      </c>
      <c r="M36" s="22">
        <f>Input!I201/Input!I$132*100</f>
        <v>0</v>
      </c>
      <c r="N36" s="22">
        <f>Input!J201/Input!J$132*100</f>
        <v>0</v>
      </c>
      <c r="O36" s="22">
        <f>AVERAGE(E36:N36)</f>
        <v>0</v>
      </c>
    </row>
    <row r="37" spans="2:15" x14ac:dyDescent="0.2">
      <c r="E37" s="22"/>
      <c r="F37" s="22"/>
      <c r="G37" s="22"/>
      <c r="H37" s="22"/>
      <c r="I37" s="22"/>
      <c r="J37" s="22"/>
      <c r="K37" s="22"/>
      <c r="L37" s="22"/>
      <c r="M37" s="22"/>
      <c r="N37" s="22"/>
      <c r="O37" s="22"/>
    </row>
  </sheetData>
  <mergeCells count="3">
    <mergeCell ref="D1:M1"/>
    <mergeCell ref="D2:M2"/>
    <mergeCell ref="D3:M3"/>
  </mergeCells>
  <phoneticPr fontId="0" type="noConversion"/>
  <printOptions horizontalCentered="1"/>
  <pageMargins left="0.78740157480314965" right="0.78740157480314965" top="0.78740157480314965" bottom="0.78740157480314965" header="0.43307086614173229" footer="0.43307086614173229"/>
  <pageSetup paperSize="9" orientation="landscape" horizontalDpi="4294967293" r:id="rId1"/>
  <headerFooter alignWithMargins="0">
    <oddFooter>&amp;L&amp;8BOKU / HVLFÖ&amp;C&amp;8DVR-Nr: 0890723&amp;R&amp;8&amp;D</oddFooter>
  </headerFooter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dimension ref="A1:O42"/>
  <sheetViews>
    <sheetView zoomScaleNormal="100" workbookViewId="0">
      <selection activeCell="D2" sqref="D2:M2"/>
    </sheetView>
  </sheetViews>
  <sheetFormatPr baseColWidth="10" defaultRowHeight="12.75" x14ac:dyDescent="0.2"/>
  <cols>
    <col min="1" max="1" width="0.85546875" customWidth="1"/>
    <col min="2" max="2" width="10.28515625" customWidth="1"/>
    <col min="3" max="3" width="8.7109375" customWidth="1"/>
    <col min="4" max="4" width="9.7109375" customWidth="1"/>
    <col min="5" max="12" width="8.7109375" customWidth="1"/>
    <col min="13" max="13" width="8.85546875" customWidth="1"/>
    <col min="14" max="14" width="8.7109375" customWidth="1"/>
    <col min="15" max="15" width="10.5703125" customWidth="1"/>
    <col min="16" max="16" width="20.7109375" customWidth="1"/>
  </cols>
  <sheetData>
    <row r="1" spans="1:15" ht="15.75" x14ac:dyDescent="0.25">
      <c r="A1" t="s">
        <v>48</v>
      </c>
      <c r="C1" s="12">
        <f>Input!A3</f>
        <v>2024</v>
      </c>
      <c r="D1" s="36" t="s">
        <v>14</v>
      </c>
      <c r="E1" s="36"/>
      <c r="F1" s="36"/>
      <c r="G1" s="36"/>
      <c r="H1" s="36"/>
      <c r="I1" s="36"/>
      <c r="J1" s="36"/>
      <c r="K1" s="36"/>
      <c r="L1" s="36"/>
      <c r="M1" s="36"/>
      <c r="O1" s="3" t="s">
        <v>245</v>
      </c>
    </row>
    <row r="2" spans="1:15" ht="15.75" customHeight="1" x14ac:dyDescent="0.2">
      <c r="D2" s="37" t="str">
        <f>Kenndat!D2</f>
        <v>Produktionsgebiet 1: Alpenvorland</v>
      </c>
      <c r="E2" s="37"/>
      <c r="F2" s="37"/>
      <c r="G2" s="37"/>
      <c r="H2" s="37"/>
      <c r="I2" s="37"/>
      <c r="J2" s="37"/>
      <c r="K2" s="37"/>
      <c r="L2" s="37"/>
      <c r="M2" s="37"/>
      <c r="N2" s="5"/>
    </row>
    <row r="3" spans="1:15" ht="15.75" customHeight="1" x14ac:dyDescent="0.2">
      <c r="D3" s="38" t="s">
        <v>168</v>
      </c>
      <c r="E3" s="38"/>
      <c r="F3" s="38"/>
      <c r="G3" s="38"/>
      <c r="H3" s="38"/>
      <c r="I3" s="38"/>
      <c r="J3" s="38"/>
      <c r="K3" s="38"/>
      <c r="L3" s="38"/>
      <c r="M3" s="38"/>
      <c r="N3" s="2"/>
    </row>
    <row r="4" spans="1:15" ht="3.75" customHeight="1" x14ac:dyDescent="0.2"/>
    <row r="5" spans="1:15" x14ac:dyDescent="0.2">
      <c r="B5" t="s">
        <v>72</v>
      </c>
      <c r="E5" s="3">
        <f>Input!A3</f>
        <v>2024</v>
      </c>
      <c r="F5" s="3">
        <f>+E5-1</f>
        <v>2023</v>
      </c>
      <c r="G5" s="3">
        <f t="shared" ref="G5:N5" si="0">+F5-1</f>
        <v>2022</v>
      </c>
      <c r="H5" s="3">
        <f t="shared" si="0"/>
        <v>2021</v>
      </c>
      <c r="I5" s="3">
        <f t="shared" si="0"/>
        <v>2020</v>
      </c>
      <c r="J5" s="3">
        <f t="shared" si="0"/>
        <v>2019</v>
      </c>
      <c r="K5" s="3">
        <f t="shared" si="0"/>
        <v>2018</v>
      </c>
      <c r="L5" s="3">
        <f t="shared" si="0"/>
        <v>2017</v>
      </c>
      <c r="M5" s="3">
        <f t="shared" si="0"/>
        <v>2016</v>
      </c>
      <c r="N5" s="3">
        <f t="shared" si="0"/>
        <v>2015</v>
      </c>
      <c r="O5" s="3" t="s">
        <v>16</v>
      </c>
    </row>
    <row r="6" spans="1:15" ht="7.5" customHeight="1" x14ac:dyDescent="0.2"/>
    <row r="7" spans="1:15" ht="12" customHeight="1" x14ac:dyDescent="0.2">
      <c r="B7" t="s">
        <v>49</v>
      </c>
      <c r="E7" s="6">
        <f>Input!A8/Input!A$6</f>
        <v>0</v>
      </c>
      <c r="F7" s="6">
        <f>Input!B8/Input!B$6</f>
        <v>0</v>
      </c>
      <c r="G7" s="6">
        <f>Input!C8/Input!C$6</f>
        <v>0</v>
      </c>
      <c r="H7" s="6">
        <f>Input!D8/Input!D$6</f>
        <v>0</v>
      </c>
      <c r="I7" s="6">
        <f>Input!E8/Input!E$6</f>
        <v>0.11246243351799241</v>
      </c>
      <c r="J7" s="6">
        <f>Input!F8/Input!F$6</f>
        <v>9.0812831150111198E-2</v>
      </c>
      <c r="K7" s="6">
        <f>Input!G8/Input!G$6</f>
        <v>0</v>
      </c>
      <c r="L7" s="6">
        <f>Input!H8/Input!H$6</f>
        <v>1.6154832407350877E-3</v>
      </c>
      <c r="M7" s="6">
        <f>Input!I8/Input!I$6</f>
        <v>6.3500824136217243E-2</v>
      </c>
      <c r="N7" s="6">
        <f>Input!J8/Input!J$6</f>
        <v>0</v>
      </c>
      <c r="O7" s="6">
        <f t="shared" ref="O7:O13" si="1">AVERAGE(E7:N7)</f>
        <v>2.6839157204505592E-2</v>
      </c>
    </row>
    <row r="8" spans="1:15" ht="12" customHeight="1" x14ac:dyDescent="0.2">
      <c r="B8" t="s">
        <v>50</v>
      </c>
      <c r="E8" s="6">
        <f>Input!A9/Input!A$6</f>
        <v>4.3598614809228451</v>
      </c>
      <c r="F8" s="6">
        <f>Input!B9/Input!B$6</f>
        <v>4.996310745082285</v>
      </c>
      <c r="G8" s="6">
        <f>Input!C9/Input!C$6</f>
        <v>4.3906785212328083</v>
      </c>
      <c r="H8" s="6">
        <f>Input!D9/Input!D$6</f>
        <v>3.9513919006934604</v>
      </c>
      <c r="I8" s="6">
        <f>Input!E9/Input!E$6</f>
        <v>4.2394928406422725</v>
      </c>
      <c r="J8" s="6">
        <f>Input!F9/Input!F$6</f>
        <v>3.2380898241645455</v>
      </c>
      <c r="K8" s="6">
        <f>Input!G9/Input!G$6</f>
        <v>2.7549605205617058</v>
      </c>
      <c r="L8" s="6">
        <f>Input!H9/Input!H$6</f>
        <v>3.3503204102814577</v>
      </c>
      <c r="M8" s="6">
        <f>Input!I9/Input!I$6</f>
        <v>3.7340968130695127</v>
      </c>
      <c r="N8" s="6">
        <f>Input!J9/Input!J$6</f>
        <v>2.6776178348696797</v>
      </c>
      <c r="O8" s="6">
        <f t="shared" si="1"/>
        <v>3.7692820891520578</v>
      </c>
    </row>
    <row r="9" spans="1:15" ht="12" customHeight="1" x14ac:dyDescent="0.2">
      <c r="B9" t="s">
        <v>51</v>
      </c>
      <c r="E9" s="6">
        <f>Input!A10/Input!A$6</f>
        <v>5.9564671478922007</v>
      </c>
      <c r="F9" s="6">
        <f>Input!B10/Input!B$6</f>
        <v>4.7315131210812522</v>
      </c>
      <c r="G9" s="6">
        <f>Input!C10/Input!C$6</f>
        <v>4.0013472542917379</v>
      </c>
      <c r="H9" s="6">
        <f>Input!D10/Input!D$6</f>
        <v>4.8624157439689411</v>
      </c>
      <c r="I9" s="6">
        <f>Input!E10/Input!E$6</f>
        <v>5.1374448682579157</v>
      </c>
      <c r="J9" s="6">
        <f>Input!F10/Input!F$6</f>
        <v>4.5866654047225319</v>
      </c>
      <c r="K9" s="6">
        <f>Input!G10/Input!G$6</f>
        <v>4.8661190230944662</v>
      </c>
      <c r="L9" s="6">
        <f>Input!H10/Input!H$6</f>
        <v>3.1634066792844497</v>
      </c>
      <c r="M9" s="6">
        <f>Input!I10/Input!I$6</f>
        <v>3.2302632222217831</v>
      </c>
      <c r="N9" s="6">
        <f>Input!J10/Input!J$6</f>
        <v>1.8094014460705146</v>
      </c>
      <c r="O9" s="6">
        <f t="shared" si="1"/>
        <v>4.2345043910885796</v>
      </c>
    </row>
    <row r="10" spans="1:15" ht="12" customHeight="1" x14ac:dyDescent="0.2">
      <c r="B10" t="s">
        <v>52</v>
      </c>
      <c r="E10" s="6">
        <f>Input!A11/Input!A$6</f>
        <v>2.3012522124574826</v>
      </c>
      <c r="F10" s="6">
        <f>Input!B11/Input!B$6</f>
        <v>0.5055041106503867</v>
      </c>
      <c r="G10" s="6">
        <f>Input!C11/Input!C$6</f>
        <v>0.24736246360807149</v>
      </c>
      <c r="H10" s="6">
        <f>Input!D11/Input!D$6</f>
        <v>0.79477478512956079</v>
      </c>
      <c r="I10" s="6">
        <f>Input!E11/Input!E$6</f>
        <v>0.6821547754859546</v>
      </c>
      <c r="J10" s="6">
        <f>Input!F11/Input!F$6</f>
        <v>0.68069478254684235</v>
      </c>
      <c r="K10" s="6">
        <f>Input!G11/Input!G$6</f>
        <v>1.1361464791657603</v>
      </c>
      <c r="L10" s="6">
        <f>Input!H11/Input!H$6</f>
        <v>0.93639379693509983</v>
      </c>
      <c r="M10" s="6">
        <f>Input!I11/Input!I$6</f>
        <v>1.9604058873470385</v>
      </c>
      <c r="N10" s="6">
        <f>Input!J11/Input!J$6</f>
        <v>1.0819439958257759</v>
      </c>
      <c r="O10" s="6">
        <f t="shared" si="1"/>
        <v>1.0326633289151974</v>
      </c>
    </row>
    <row r="11" spans="1:15" ht="12" customHeight="1" x14ac:dyDescent="0.2">
      <c r="B11" t="s">
        <v>53</v>
      </c>
      <c r="E11" s="6">
        <f>Input!A12/Input!A$6</f>
        <v>2.6437707971003341</v>
      </c>
      <c r="F11" s="6">
        <f>Input!B12/Input!B$6</f>
        <v>2.2691217699470565</v>
      </c>
      <c r="G11" s="6">
        <f>Input!C12/Input!C$6</f>
        <v>1.7442879730950709</v>
      </c>
      <c r="H11" s="6">
        <f>Input!D12/Input!D$6</f>
        <v>2.2179266439344598</v>
      </c>
      <c r="I11" s="6">
        <f>Input!E12/Input!E$6</f>
        <v>2.2538144529172026</v>
      </c>
      <c r="J11" s="6">
        <f>Input!F12/Input!F$6</f>
        <v>1.8220790451237125</v>
      </c>
      <c r="K11" s="6">
        <f>Input!G12/Input!G$6</f>
        <v>2.2423980728472008</v>
      </c>
      <c r="L11" s="6">
        <f>Input!H12/Input!H$6</f>
        <v>2.1819978020636182</v>
      </c>
      <c r="M11" s="6">
        <f>Input!I12/Input!I$6</f>
        <v>4.8840596473658113</v>
      </c>
      <c r="N11" s="6">
        <f>Input!J12/Input!J$6</f>
        <v>3.1416558998186201</v>
      </c>
      <c r="O11" s="6">
        <f t="shared" si="1"/>
        <v>2.5401112104213088</v>
      </c>
    </row>
    <row r="12" spans="1:15" ht="12" customHeight="1" x14ac:dyDescent="0.2">
      <c r="B12" t="s">
        <v>54</v>
      </c>
      <c r="E12" s="6">
        <f>Input!A13/Input!A$6</f>
        <v>0.79337986548258499</v>
      </c>
      <c r="F12" s="6">
        <f>Input!B13/Input!B$6</f>
        <v>0.74898905261345539</v>
      </c>
      <c r="G12" s="6">
        <f>Input!C13/Input!C$6</f>
        <v>0.46764945788575446</v>
      </c>
      <c r="H12" s="6">
        <f>Input!D13/Input!D$6</f>
        <v>0.49672158154859969</v>
      </c>
      <c r="I12" s="6">
        <f>Input!E13/Input!E$6</f>
        <v>0.48983308526024505</v>
      </c>
      <c r="J12" s="6">
        <f>Input!F13/Input!F$6</f>
        <v>0.41901310873863001</v>
      </c>
      <c r="K12" s="6">
        <f>Input!G13/Input!G$6</f>
        <v>0.2526399544220444</v>
      </c>
      <c r="L12" s="6">
        <f>Input!H13/Input!H$6</f>
        <v>0.20700189266743999</v>
      </c>
      <c r="M12" s="6">
        <f>Input!I13/Input!I$6</f>
        <v>0.53303732526762326</v>
      </c>
      <c r="N12" s="6">
        <f>Input!J13/Input!J$6</f>
        <v>0.34899582577583421</v>
      </c>
      <c r="O12" s="6">
        <f t="shared" si="1"/>
        <v>0.47572611496622114</v>
      </c>
    </row>
    <row r="13" spans="1:15" ht="13.5" customHeight="1" x14ac:dyDescent="0.2">
      <c r="B13" s="4" t="s">
        <v>55</v>
      </c>
      <c r="E13" s="8">
        <f>SUM(E7:E12)</f>
        <v>16.05473150385545</v>
      </c>
      <c r="F13" s="8">
        <f t="shared" ref="F13:N13" si="2">SUM(F7:F12)</f>
        <v>13.251438799374435</v>
      </c>
      <c r="G13" s="8">
        <f t="shared" si="2"/>
        <v>10.851325670113443</v>
      </c>
      <c r="H13" s="8">
        <f t="shared" si="2"/>
        <v>12.323230655275022</v>
      </c>
      <c r="I13" s="8">
        <f t="shared" si="2"/>
        <v>12.915202456081584</v>
      </c>
      <c r="J13" s="8">
        <f t="shared" si="2"/>
        <v>10.837354996446374</v>
      </c>
      <c r="K13" s="8">
        <f t="shared" si="2"/>
        <v>11.252264050091178</v>
      </c>
      <c r="L13" s="8">
        <f t="shared" si="2"/>
        <v>9.8407360644728019</v>
      </c>
      <c r="M13" s="8">
        <f t="shared" si="2"/>
        <v>14.405363719407985</v>
      </c>
      <c r="N13" s="8">
        <f t="shared" si="2"/>
        <v>9.0596150023604238</v>
      </c>
      <c r="O13" s="8">
        <f t="shared" si="1"/>
        <v>12.079126291747873</v>
      </c>
    </row>
    <row r="14" spans="1:15" ht="3" customHeight="1" x14ac:dyDescent="0.2">
      <c r="O14" s="6"/>
    </row>
    <row r="15" spans="1:15" ht="12" customHeight="1" x14ac:dyDescent="0.2">
      <c r="B15" t="s">
        <v>56</v>
      </c>
      <c r="E15" s="6">
        <f>Input!A14/Input!A$6</f>
        <v>28.325568774721805</v>
      </c>
      <c r="F15" s="6">
        <f>Input!B14/Input!B$6</f>
        <v>25.785913023516077</v>
      </c>
      <c r="G15" s="6">
        <f>Input!C14/Input!C$6</f>
        <v>21.01394024194358</v>
      </c>
      <c r="H15" s="6">
        <f>Input!D14/Input!D$6</f>
        <v>22.232588278865435</v>
      </c>
      <c r="I15" s="6">
        <f>Input!E14/Input!E$6</f>
        <v>21.442373569629535</v>
      </c>
      <c r="J15" s="6">
        <f>Input!F14/Input!F$6</f>
        <v>20.154955766310678</v>
      </c>
      <c r="K15" s="6">
        <f>Input!G14/Input!G$6</f>
        <v>18.797093694065559</v>
      </c>
      <c r="L15" s="6">
        <f>Input!H14/Input!H$6</f>
        <v>19.833759448073753</v>
      </c>
      <c r="M15" s="6">
        <f>Input!I14/Input!I$6</f>
        <v>21.444930579291931</v>
      </c>
      <c r="N15" s="6">
        <f>Input!J14/Input!J$6</f>
        <v>23.576524212984818</v>
      </c>
      <c r="O15" s="6">
        <f>AVERAGE(E15:N15)</f>
        <v>22.260764758940319</v>
      </c>
    </row>
    <row r="16" spans="1:15" ht="12" customHeight="1" x14ac:dyDescent="0.2">
      <c r="B16" t="s">
        <v>57</v>
      </c>
      <c r="E16" s="6">
        <f>Input!A15/Input!A$6</f>
        <v>6.5692041309467015</v>
      </c>
      <c r="F16" s="6">
        <f>Input!B15/Input!B$6</f>
        <v>5.6820891860481799</v>
      </c>
      <c r="G16" s="6">
        <f>Input!C15/Input!C$6</f>
        <v>4.4545171167553459</v>
      </c>
      <c r="H16" s="6">
        <f>Input!D15/Input!D$6</f>
        <v>4.3939132600283521</v>
      </c>
      <c r="I16" s="6">
        <f>Input!E15/Input!E$6</f>
        <v>4.3369502758298859</v>
      </c>
      <c r="J16" s="6">
        <f>Input!F15/Input!F$6</f>
        <v>3.5986042976252133</v>
      </c>
      <c r="K16" s="6">
        <f>Input!G15/Input!G$6</f>
        <v>3.7971677843231411</v>
      </c>
      <c r="L16" s="6">
        <f>Input!H15/Input!H$6</f>
        <v>3.9155113254777456</v>
      </c>
      <c r="M16" s="6">
        <f>Input!I15/Input!I$6</f>
        <v>1.6653114481809399</v>
      </c>
      <c r="N16" s="6">
        <f>Input!J15/Input!J$6</f>
        <v>2.6786929460580913</v>
      </c>
      <c r="O16" s="6">
        <f>AVERAGE(E16:N16)</f>
        <v>4.1091961771273597</v>
      </c>
    </row>
    <row r="17" spans="2:15" ht="12" customHeight="1" x14ac:dyDescent="0.2">
      <c r="B17" t="s">
        <v>58</v>
      </c>
      <c r="E17" s="6">
        <f>Input!A16/Input!A$6</f>
        <v>4.9867246394656242</v>
      </c>
      <c r="F17" s="6">
        <f>Input!B16/Input!B$6</f>
        <v>3.6582508572822356</v>
      </c>
      <c r="G17" s="6">
        <f>Input!C16/Input!C$6</f>
        <v>2.6030882943479567</v>
      </c>
      <c r="H17" s="6">
        <f>Input!D16/Input!D$6</f>
        <v>2.5223213669974327</v>
      </c>
      <c r="I17" s="6">
        <f>Input!E16/Input!E$6</f>
        <v>3.2626928096726382</v>
      </c>
      <c r="J17" s="6">
        <f>Input!F16/Input!F$6</f>
        <v>3.2996003125075317</v>
      </c>
      <c r="K17" s="6">
        <f>Input!G16/Input!G$6</f>
        <v>3.8306169869163718</v>
      </c>
      <c r="L17" s="6">
        <f>Input!H16/Input!H$6</f>
        <v>3.6136698211124001</v>
      </c>
      <c r="M17" s="6">
        <f>Input!I16/Input!I$6</f>
        <v>1.4142938901164193E-2</v>
      </c>
      <c r="N17" s="6">
        <f>Input!J16/Input!J$6</f>
        <v>0.38880053171664969</v>
      </c>
      <c r="O17" s="6">
        <f>AVERAGE(E17:N17)</f>
        <v>2.8179908558920004</v>
      </c>
    </row>
    <row r="18" spans="2:15" ht="12" customHeight="1" x14ac:dyDescent="0.2">
      <c r="B18" t="s">
        <v>59</v>
      </c>
      <c r="E18" s="6">
        <f>Input!A17/Input!A$6</f>
        <v>0.72821079525341292</v>
      </c>
      <c r="F18" s="6">
        <f>Input!B17/Input!B$6</f>
        <v>0.57470307186822966</v>
      </c>
      <c r="G18" s="6">
        <f>Input!C17/Input!C$6</f>
        <v>0.42652670414617005</v>
      </c>
      <c r="H18" s="6">
        <f>Input!D17/Input!D$6</f>
        <v>0.35900731772729011</v>
      </c>
      <c r="I18" s="6">
        <f>Input!E17/Input!E$6</f>
        <v>0.35730583145566763</v>
      </c>
      <c r="J18" s="6">
        <f>Input!F17/Input!F$6</f>
        <v>0.36476589270692306</v>
      </c>
      <c r="K18" s="6">
        <f>Input!G17/Input!G$6</f>
        <v>0.31471632855627008</v>
      </c>
      <c r="L18" s="6">
        <f>Input!H17/Input!H$6</f>
        <v>0.32558092679650774</v>
      </c>
      <c r="M18" s="6">
        <f>Input!I17/Input!I$6</f>
        <v>0.31617393590939263</v>
      </c>
      <c r="N18" s="6">
        <f>Input!J17/Input!J$6</f>
        <v>0.30314023405471219</v>
      </c>
      <c r="O18" s="6">
        <f>AVERAGE(E18:N18)</f>
        <v>0.40701310384745765</v>
      </c>
    </row>
    <row r="19" spans="2:15" ht="13.5" customHeight="1" x14ac:dyDescent="0.2">
      <c r="B19" s="4" t="s">
        <v>60</v>
      </c>
      <c r="E19" s="8">
        <f t="shared" ref="E19:N19" si="3">SUM(E15:E18)</f>
        <v>40.609708340387535</v>
      </c>
      <c r="F19" s="8">
        <f t="shared" si="3"/>
        <v>35.700956138714723</v>
      </c>
      <c r="G19" s="8">
        <f t="shared" si="3"/>
        <v>28.498072357193053</v>
      </c>
      <c r="H19" s="8">
        <f t="shared" si="3"/>
        <v>29.507830223618509</v>
      </c>
      <c r="I19" s="8">
        <f t="shared" si="3"/>
        <v>29.399322486587728</v>
      </c>
      <c r="J19" s="8">
        <f t="shared" si="3"/>
        <v>27.41792626915035</v>
      </c>
      <c r="K19" s="8">
        <f t="shared" si="3"/>
        <v>26.73959479386134</v>
      </c>
      <c r="L19" s="8">
        <f t="shared" si="3"/>
        <v>27.688521521460405</v>
      </c>
      <c r="M19" s="8">
        <f t="shared" si="3"/>
        <v>23.440558902283428</v>
      </c>
      <c r="N19" s="8">
        <f t="shared" si="3"/>
        <v>26.947157924814274</v>
      </c>
      <c r="O19" s="8">
        <f>AVERAGE(E19:N19)</f>
        <v>29.594964895807134</v>
      </c>
    </row>
    <row r="20" spans="2:15" ht="3" customHeight="1" x14ac:dyDescent="0.2">
      <c r="O20" s="6"/>
    </row>
    <row r="21" spans="2:15" ht="12" customHeight="1" x14ac:dyDescent="0.2">
      <c r="B21" t="s">
        <v>61</v>
      </c>
      <c r="E21" s="6">
        <f>Input!A18/Input!A$6</f>
        <v>4.3384410447416624</v>
      </c>
      <c r="F21" s="6">
        <f>Input!B18/Input!B$6</f>
        <v>4.4158913583081052</v>
      </c>
      <c r="G21" s="6">
        <f>Input!C18/Input!C$6</f>
        <v>2.5918781999799219</v>
      </c>
      <c r="H21" s="6">
        <f>Input!D18/Input!D$6</f>
        <v>2.9618374774912839</v>
      </c>
      <c r="I21" s="6">
        <f>Input!E18/Input!E$6</f>
        <v>2.7627919599038044</v>
      </c>
      <c r="J21" s="6">
        <f>Input!F18/Input!F$6</f>
        <v>1.7015367305104585</v>
      </c>
      <c r="K21" s="6">
        <f>Input!G18/Input!G$6</f>
        <v>2.874409545101229</v>
      </c>
      <c r="L21" s="6">
        <f>Input!H18/Input!H$6</f>
        <v>3.3429898040173396</v>
      </c>
      <c r="M21" s="6">
        <f>Input!I18/Input!I$6</f>
        <v>2.5689275577711896</v>
      </c>
      <c r="N21" s="6">
        <f>Input!J18/Input!J$6</f>
        <v>3.0700729246900393</v>
      </c>
      <c r="O21" s="6">
        <f>AVERAGE(E21:N21)</f>
        <v>3.0628776602515031</v>
      </c>
    </row>
    <row r="22" spans="2:15" ht="12" customHeight="1" x14ac:dyDescent="0.2">
      <c r="B22" t="s">
        <v>255</v>
      </c>
      <c r="E22" s="6">
        <f>Input!A19/Input!A$6</f>
        <v>3.1342766995521214</v>
      </c>
      <c r="F22" s="6">
        <f>Input!B19/Input!B$6</f>
        <v>4.4190120091252139</v>
      </c>
      <c r="G22" s="6">
        <f>Input!C19/Input!C$6</f>
        <v>3.3931462704547735</v>
      </c>
      <c r="H22" s="6">
        <f>Input!D19/Input!D$6</f>
        <v>2.5383021084760484</v>
      </c>
      <c r="I22" s="6">
        <f>Input!E19/Input!E$6</f>
        <v>3.152076045198811</v>
      </c>
      <c r="J22" s="6">
        <f>Input!F19/Input!F$6</f>
        <v>2.7715341850672428</v>
      </c>
      <c r="K22" s="6">
        <f>Input!G19/Input!G$6</f>
        <v>2.2366250785208548</v>
      </c>
      <c r="L22" s="6">
        <f>Input!H19/Input!H$6</f>
        <v>2.8896002197936381</v>
      </c>
      <c r="M22" s="6">
        <f>Input!I19/Input!I$6</f>
        <v>2.5465844479057078</v>
      </c>
      <c r="N22" s="6">
        <f>Input!J19/Input!J$6</f>
        <v>7.5343324968320626</v>
      </c>
      <c r="O22" s="6">
        <f>AVERAGE(E22:N22)</f>
        <v>3.4615489560926478</v>
      </c>
    </row>
    <row r="23" spans="2:15" ht="12" customHeight="1" x14ac:dyDescent="0.2">
      <c r="B23" t="s">
        <v>62</v>
      </c>
      <c r="E23" s="6">
        <f>Input!A20/Input!A$6</f>
        <v>0</v>
      </c>
      <c r="F23" s="6">
        <f>Input!B20/Input!B$6</f>
        <v>0</v>
      </c>
      <c r="G23" s="6">
        <f>Input!C20/Input!C$6</f>
        <v>5.7984891075193251E-2</v>
      </c>
      <c r="H23" s="6">
        <f>Input!D20/Input!D$6</f>
        <v>0</v>
      </c>
      <c r="I23" s="6">
        <f>Input!E20/Input!E$6</f>
        <v>0</v>
      </c>
      <c r="J23" s="6">
        <f>Input!F20/Input!F$6</f>
        <v>0</v>
      </c>
      <c r="K23" s="6">
        <f>Input!G20/Input!G$6</f>
        <v>9.1756931321413365E-3</v>
      </c>
      <c r="L23" s="6">
        <f>Input!H20/Input!H$6</f>
        <v>2.2145552231515965E-2</v>
      </c>
      <c r="M23" s="6">
        <f>Input!I20/Input!I$6</f>
        <v>3.3049911470107975E-2</v>
      </c>
      <c r="N23" s="6">
        <f>Input!J20/Input!J$6</f>
        <v>0</v>
      </c>
      <c r="O23" s="6">
        <f>AVERAGE(E23:N23)</f>
        <v>1.2235604790895851E-2</v>
      </c>
    </row>
    <row r="24" spans="2:15" ht="13.5" customHeight="1" x14ac:dyDescent="0.2">
      <c r="B24" s="4" t="s">
        <v>63</v>
      </c>
      <c r="E24" s="8">
        <f t="shared" ref="E24:N24" si="4">SUM(E21:E23)</f>
        <v>7.4727177442937833</v>
      </c>
      <c r="F24" s="8">
        <f t="shared" si="4"/>
        <v>8.8349033674333199</v>
      </c>
      <c r="G24" s="8">
        <f t="shared" si="4"/>
        <v>6.0430093615098883</v>
      </c>
      <c r="H24" s="8">
        <f t="shared" si="4"/>
        <v>5.5001395859673323</v>
      </c>
      <c r="I24" s="8">
        <f t="shared" si="4"/>
        <v>5.9148680051026155</v>
      </c>
      <c r="J24" s="8">
        <f t="shared" si="4"/>
        <v>4.4730709155777015</v>
      </c>
      <c r="K24" s="8">
        <f t="shared" si="4"/>
        <v>5.1202103167542248</v>
      </c>
      <c r="L24" s="8">
        <f t="shared" si="4"/>
        <v>6.2547355760424939</v>
      </c>
      <c r="M24" s="8">
        <f t="shared" si="4"/>
        <v>5.1485619171470063</v>
      </c>
      <c r="N24" s="8">
        <f t="shared" si="4"/>
        <v>10.604405421522102</v>
      </c>
      <c r="O24" s="8">
        <f>AVERAGE(E24:N24)</f>
        <v>6.536662221135046</v>
      </c>
    </row>
    <row r="25" spans="2:15" ht="3" customHeight="1" x14ac:dyDescent="0.2">
      <c r="O25" s="6"/>
    </row>
    <row r="26" spans="2:15" ht="12" customHeight="1" x14ac:dyDescent="0.2">
      <c r="B26" t="s">
        <v>64</v>
      </c>
      <c r="E26" s="6">
        <f>Input!A21/Input!A$6</f>
        <v>0.86535607098333156</v>
      </c>
      <c r="F26" s="6">
        <f>Input!B21/Input!B$6</f>
        <v>1.003950098282566</v>
      </c>
      <c r="G26" s="6">
        <f>Input!C21/Input!C$6</f>
        <v>0.83458061439614495</v>
      </c>
      <c r="H26" s="6">
        <f>Input!D21/Input!D$6</f>
        <v>0.8378684086178052</v>
      </c>
      <c r="I26" s="6">
        <f>Input!E21/Input!E$6</f>
        <v>0.76040471728621739</v>
      </c>
      <c r="J26" s="6">
        <f>Input!F21/Input!F$6</f>
        <v>0.76088470905819194</v>
      </c>
      <c r="K26" s="6">
        <f>Input!G21/Input!G$6</f>
        <v>1.1755310819299551</v>
      </c>
      <c r="L26" s="6">
        <f>Input!H21/Input!H$6</f>
        <v>1.0865814762806032</v>
      </c>
      <c r="M26" s="6">
        <f>Input!I21/Input!I$6</f>
        <v>0.72492365584038276</v>
      </c>
      <c r="N26" s="6">
        <f>Input!J21/Input!J$6</f>
        <v>0.91634072104753139</v>
      </c>
      <c r="O26" s="6">
        <f>AVERAGE(E26:N26)</f>
        <v>0.89664215537227288</v>
      </c>
    </row>
    <row r="27" spans="2:15" ht="12" customHeight="1" x14ac:dyDescent="0.2">
      <c r="B27" t="s">
        <v>65</v>
      </c>
      <c r="E27" s="6">
        <f>Input!A22/Input!A$6</f>
        <v>13.381211888015022</v>
      </c>
      <c r="F27" s="6">
        <f>Input!B22/Input!B$6</f>
        <v>16.745887484396746</v>
      </c>
      <c r="G27" s="6">
        <f>Input!C22/Input!C$6</f>
        <v>13.603941371348256</v>
      </c>
      <c r="H27" s="6">
        <f>Input!D22/Input!D$6</f>
        <v>13.905102741912826</v>
      </c>
      <c r="I27" s="6">
        <f>Input!E22/Input!E$6</f>
        <v>13.732045249374023</v>
      </c>
      <c r="J27" s="6">
        <f>Input!F22/Input!F$6</f>
        <v>12.099519305099882</v>
      </c>
      <c r="K27" s="6">
        <f>Input!G22/Input!G$6</f>
        <v>11.908907628652988</v>
      </c>
      <c r="L27" s="6">
        <f>Input!H22/Input!H$6</f>
        <v>12.267922095366018</v>
      </c>
      <c r="M27" s="6">
        <f>Input!I22/Input!I$6</f>
        <v>11.730267278931674</v>
      </c>
      <c r="N27" s="6">
        <f>Input!J22/Input!J$6</f>
        <v>10.610296668074639</v>
      </c>
      <c r="O27" s="6">
        <f>AVERAGE(E27:N27)</f>
        <v>12.998510171117209</v>
      </c>
    </row>
    <row r="28" spans="2:15" ht="12" customHeight="1" x14ac:dyDescent="0.2">
      <c r="B28" t="s">
        <v>66</v>
      </c>
      <c r="E28" s="6">
        <f>Input!A23/Input!A$6</f>
        <v>1.7347693657365366</v>
      </c>
      <c r="F28" s="6">
        <f>Input!B23/Input!B$6</f>
        <v>1.940482804137911</v>
      </c>
      <c r="G28" s="6">
        <f>Input!C23/Input!C$6</f>
        <v>1.8118734313823914</v>
      </c>
      <c r="H28" s="6">
        <f>Input!D23/Input!D$6</f>
        <v>1.8227881434938635</v>
      </c>
      <c r="I28" s="6">
        <f>Input!E23/Input!E$6</f>
        <v>1.8825109262764703</v>
      </c>
      <c r="J28" s="6">
        <f>Input!F23/Input!F$6</f>
        <v>1.6878107365971833</v>
      </c>
      <c r="K28" s="6">
        <f>Input!G23/Input!G$6</f>
        <v>1.7365882704808884</v>
      </c>
      <c r="L28" s="6">
        <f>Input!H23/Input!H$6</f>
        <v>1.6146680505525366</v>
      </c>
      <c r="M28" s="6">
        <f>Input!I23/Input!I$6</f>
        <v>1.7182311247009736</v>
      </c>
      <c r="N28" s="6">
        <f>Input!J23/Input!J$6</f>
        <v>1.9340012920217655</v>
      </c>
      <c r="O28" s="6">
        <f>AVERAGE(E28:N28)</f>
        <v>1.7883724145380522</v>
      </c>
    </row>
    <row r="29" spans="2:15" ht="13.5" customHeight="1" x14ac:dyDescent="0.2">
      <c r="B29" s="4" t="s">
        <v>15</v>
      </c>
      <c r="E29" s="8">
        <f t="shared" ref="E29:N29" si="5">SUM(E26:E28)</f>
        <v>15.98133732473489</v>
      </c>
      <c r="F29" s="8">
        <f t="shared" si="5"/>
        <v>19.690320386817223</v>
      </c>
      <c r="G29" s="8">
        <f t="shared" si="5"/>
        <v>16.250395417126793</v>
      </c>
      <c r="H29" s="8">
        <f t="shared" si="5"/>
        <v>16.565759294024495</v>
      </c>
      <c r="I29" s="8">
        <f t="shared" si="5"/>
        <v>16.374960892936709</v>
      </c>
      <c r="J29" s="8">
        <f t="shared" si="5"/>
        <v>14.548214750755259</v>
      </c>
      <c r="K29" s="8">
        <f t="shared" si="5"/>
        <v>14.821026981063833</v>
      </c>
      <c r="L29" s="8">
        <f t="shared" si="5"/>
        <v>14.969171622199157</v>
      </c>
      <c r="M29" s="8">
        <f t="shared" si="5"/>
        <v>14.173422059473031</v>
      </c>
      <c r="N29" s="8">
        <f t="shared" si="5"/>
        <v>13.460638681143935</v>
      </c>
      <c r="O29" s="8">
        <f>AVERAGE(E29:N29)</f>
        <v>15.683524741027535</v>
      </c>
    </row>
    <row r="30" spans="2:15" ht="3" customHeight="1" x14ac:dyDescent="0.2">
      <c r="O30" s="6"/>
    </row>
    <row r="31" spans="2:15" x14ac:dyDescent="0.2">
      <c r="B31" s="1" t="s">
        <v>67</v>
      </c>
      <c r="E31" s="7">
        <f t="shared" ref="E31:N31" si="6">SUM(E13,E19,E24,E29)</f>
        <v>80.118494913271661</v>
      </c>
      <c r="F31" s="7">
        <f t="shared" si="6"/>
        <v>77.477618692339703</v>
      </c>
      <c r="G31" s="7">
        <f t="shared" si="6"/>
        <v>61.642802805943177</v>
      </c>
      <c r="H31" s="7">
        <f t="shared" si="6"/>
        <v>63.896959758885359</v>
      </c>
      <c r="I31" s="7">
        <f t="shared" si="6"/>
        <v>64.60435384070864</v>
      </c>
      <c r="J31" s="7">
        <f t="shared" si="6"/>
        <v>57.276566931929679</v>
      </c>
      <c r="K31" s="7">
        <f t="shared" si="6"/>
        <v>57.933096141770569</v>
      </c>
      <c r="L31" s="7">
        <f t="shared" si="6"/>
        <v>58.753164784174857</v>
      </c>
      <c r="M31" s="7">
        <f t="shared" si="6"/>
        <v>57.167906598311454</v>
      </c>
      <c r="N31" s="7">
        <f t="shared" si="6"/>
        <v>60.07181702984073</v>
      </c>
      <c r="O31" s="7">
        <f>AVERAGE(E31:N31)</f>
        <v>63.894278149717593</v>
      </c>
    </row>
    <row r="32" spans="2:15" ht="6" customHeight="1" x14ac:dyDescent="0.2">
      <c r="O32" s="6"/>
    </row>
    <row r="33" spans="2:15" ht="12" customHeight="1" x14ac:dyDescent="0.2">
      <c r="B33" t="s">
        <v>303</v>
      </c>
      <c r="E33" s="6">
        <f>(Input!A27+Input!A203+Input!A207)/Input!A$34</f>
        <v>67.908037141753496</v>
      </c>
      <c r="F33" s="6">
        <f>(Input!B27+Input!B203+Input!B207)/Input!B$34</f>
        <v>73.789925474657139</v>
      </c>
      <c r="G33" s="6">
        <f>(Input!C27+Input!C203+Input!C207)/Input!C$34</f>
        <v>70.475706986060786</v>
      </c>
      <c r="H33" s="6">
        <f>(Input!D27+Input!D203+Input!D207)/Input!D$34</f>
        <v>65.92083627296303</v>
      </c>
      <c r="I33" s="6">
        <f>(Input!E27+Input!E203+Input!E207)/Input!E$34</f>
        <v>57.98491130942493</v>
      </c>
      <c r="J33" s="6">
        <f>(Input!F27+Input!F203+Input!F207)/Input!F$34</f>
        <v>58.503971714488443</v>
      </c>
      <c r="K33" s="6">
        <f>(Input!G27+Input!G203+Input!G207)/Input!G$34</f>
        <v>60.299641950174212</v>
      </c>
      <c r="L33" s="6">
        <f>(Input!H27+Input!H203+Input!H207)/Input!H$34</f>
        <v>60.666107167689894</v>
      </c>
      <c r="M33" s="6">
        <f>(Input!I27+Input!I203+Input!I207)/Input!I$34</f>
        <v>61.727515680678856</v>
      </c>
      <c r="N33" s="6">
        <f>(Input!J27+Input!J203+Input!J207)/Input!J$34</f>
        <v>69.077292698741715</v>
      </c>
      <c r="O33" s="6">
        <f>AVERAGE(E33:N33)</f>
        <v>64.635394639663247</v>
      </c>
    </row>
    <row r="34" spans="2:15" ht="12" customHeight="1" x14ac:dyDescent="0.2">
      <c r="B34" t="s">
        <v>69</v>
      </c>
      <c r="E34" s="6">
        <f>Input!A28/Input!A$34</f>
        <v>1.4265480648518727E-2</v>
      </c>
      <c r="F34" s="6">
        <f>Input!B28/Input!B$34</f>
        <v>5.8746259222313302E-2</v>
      </c>
      <c r="G34" s="6">
        <f>Input!C28/Input!C$34</f>
        <v>2.4276978623332633E-2</v>
      </c>
      <c r="H34" s="6">
        <f>Input!D28/Input!D$34</f>
        <v>0.13051881526179321</v>
      </c>
      <c r="I34" s="6">
        <f>Input!E28/Input!E$34</f>
        <v>5.7918501359803934E-2</v>
      </c>
      <c r="J34" s="6">
        <f>Input!F28/Input!F$34</f>
        <v>0.13313812141516676</v>
      </c>
      <c r="K34" s="6">
        <f>Input!G28/Input!G$34</f>
        <v>9.925157475460572E-2</v>
      </c>
      <c r="L34" s="6">
        <f>Input!H28/Input!H$34</f>
        <v>8.5567830901958686E-2</v>
      </c>
      <c r="M34" s="6">
        <f>Input!I28/Input!I$34</f>
        <v>0.13537792000298476</v>
      </c>
      <c r="N34" s="6">
        <f>Input!J28/Input!J$34</f>
        <v>3.9788810090958256E-2</v>
      </c>
      <c r="O34" s="6">
        <f>AVERAGE(E34:N34)</f>
        <v>7.7885029228143596E-2</v>
      </c>
    </row>
    <row r="35" spans="2:15" ht="12" customHeight="1" x14ac:dyDescent="0.2">
      <c r="B35" t="s">
        <v>75</v>
      </c>
      <c r="E35" s="6">
        <f>(Input!A29-Input!A203-Input!A207)/Input!A$34</f>
        <v>8.0189035054776436</v>
      </c>
      <c r="F35" s="6">
        <f>(Input!B29-Input!B203-Input!B207)/Input!B$34</f>
        <v>9.9098471055421893</v>
      </c>
      <c r="G35" s="6">
        <f>(Input!C29-Input!C203-Input!C207)/Input!C$34</f>
        <v>7.1011064612775279</v>
      </c>
      <c r="H35" s="6">
        <f>(Input!D29-Input!D203-Input!D207)/Input!D$34</f>
        <v>6.1688858314949941</v>
      </c>
      <c r="I35" s="6">
        <f>(Input!E29-Input!E203-Input!E207)/Input!E$34</f>
        <v>6.7361218802439238</v>
      </c>
      <c r="J35" s="6">
        <f>(Input!F29-Input!F203-Input!F207)/Input!F$34</f>
        <v>4.8444350875550537</v>
      </c>
      <c r="K35" s="6">
        <f>(Input!G29-Input!G203-Input!G207)/Input!G$34</f>
        <v>7.2304941649189525</v>
      </c>
      <c r="L35" s="6">
        <f>(Input!H29-Input!H203-Input!H207)/Input!H$34</f>
        <v>5.0747021679233049</v>
      </c>
      <c r="M35" s="6">
        <f>(Input!I29-Input!I203-Input!I207)/Input!I$34</f>
        <v>5.5358709495385092</v>
      </c>
      <c r="N35" s="6">
        <f>(Input!J29-Input!J203-Input!J207)/Input!J$34</f>
        <v>5.9287442054582176</v>
      </c>
      <c r="O35" s="6">
        <f>AVERAGE(E35:N35)</f>
        <v>6.6549111359430313</v>
      </c>
    </row>
    <row r="36" spans="2:15" ht="13.5" customHeight="1" x14ac:dyDescent="0.2">
      <c r="B36" s="1" t="s">
        <v>71</v>
      </c>
      <c r="E36" s="7">
        <f t="shared" ref="E36:N36" si="7">SUM(E33:E35)</f>
        <v>75.941206127879653</v>
      </c>
      <c r="F36" s="7">
        <f t="shared" si="7"/>
        <v>83.75851883942164</v>
      </c>
      <c r="G36" s="7">
        <f t="shared" si="7"/>
        <v>77.601090425961644</v>
      </c>
      <c r="H36" s="7">
        <f t="shared" si="7"/>
        <v>72.220240919719814</v>
      </c>
      <c r="I36" s="7">
        <f t="shared" si="7"/>
        <v>64.778951691028652</v>
      </c>
      <c r="J36" s="7">
        <f t="shared" si="7"/>
        <v>63.481544923458664</v>
      </c>
      <c r="K36" s="7">
        <f t="shared" si="7"/>
        <v>67.629387689847775</v>
      </c>
      <c r="L36" s="7">
        <f t="shared" si="7"/>
        <v>65.826377166515158</v>
      </c>
      <c r="M36" s="7">
        <f t="shared" si="7"/>
        <v>67.398764550220349</v>
      </c>
      <c r="N36" s="7">
        <f t="shared" si="7"/>
        <v>75.045825714290885</v>
      </c>
      <c r="O36" s="7">
        <f>AVERAGE(E36:N36)</f>
        <v>71.368190804834427</v>
      </c>
    </row>
    <row r="37" spans="2:15" ht="6" customHeight="1" x14ac:dyDescent="0.2">
      <c r="O37" s="6"/>
    </row>
    <row r="38" spans="2:15" x14ac:dyDescent="0.2">
      <c r="B38" s="9" t="s">
        <v>73</v>
      </c>
      <c r="C38" s="10"/>
      <c r="D38" s="10"/>
      <c r="E38" s="11">
        <f t="shared" ref="E38:N38" si="8">E36-E31</f>
        <v>-4.1772887853920082</v>
      </c>
      <c r="F38" s="11">
        <f t="shared" si="8"/>
        <v>6.2809001470819368</v>
      </c>
      <c r="G38" s="11">
        <f t="shared" si="8"/>
        <v>15.958287620018467</v>
      </c>
      <c r="H38" s="11">
        <f t="shared" si="8"/>
        <v>8.3232811608344548</v>
      </c>
      <c r="I38" s="11">
        <f t="shared" si="8"/>
        <v>0.17459785032001207</v>
      </c>
      <c r="J38" s="11">
        <f t="shared" si="8"/>
        <v>6.2049779915289847</v>
      </c>
      <c r="K38" s="11">
        <f t="shared" si="8"/>
        <v>9.6962915480772054</v>
      </c>
      <c r="L38" s="11">
        <f t="shared" si="8"/>
        <v>7.0732123823403015</v>
      </c>
      <c r="M38" s="11">
        <f t="shared" si="8"/>
        <v>10.230857951908895</v>
      </c>
      <c r="N38" s="11">
        <f t="shared" si="8"/>
        <v>14.974008684450155</v>
      </c>
      <c r="O38" s="11">
        <f>AVERAGE(E38:N38)</f>
        <v>7.4739126551168393</v>
      </c>
    </row>
    <row r="39" spans="2:15" ht="6" customHeight="1" x14ac:dyDescent="0.2">
      <c r="O39" s="6"/>
    </row>
    <row r="40" spans="2:15" ht="13.5" customHeight="1" x14ac:dyDescent="0.2">
      <c r="B40" s="4" t="s">
        <v>70</v>
      </c>
      <c r="E40" s="8">
        <f>(Input!A25 + Input!A26) / Input!A$6</f>
        <v>2.2731565419481936</v>
      </c>
      <c r="F40" s="8">
        <f>(Input!B25 + Input!B26) / Input!B$6</f>
        <v>2.4773394837654421</v>
      </c>
      <c r="G40" s="8">
        <f>(Input!C25 + Input!C26) / Input!C$6</f>
        <v>2.0097994679249069</v>
      </c>
      <c r="H40" s="8">
        <f>(Input!D25 + Input!D26) / Input!D$6</f>
        <v>2.0581263808538628</v>
      </c>
      <c r="I40" s="8">
        <f>(Input!E25 + Input!E26) / Input!E$6</f>
        <v>2.1102690144598699</v>
      </c>
      <c r="J40" s="8">
        <f>(Input!F25 + Input!F26) / Input!F$6</f>
        <v>1.9940480130552434</v>
      </c>
      <c r="K40" s="8">
        <f>(Input!G25 + Input!G26) / Input!G$6</f>
        <v>2.0386378915121846</v>
      </c>
      <c r="L40" s="8">
        <f>(Input!H25 + Input!H26) / Input!H$6</f>
        <v>2.1421216191464678</v>
      </c>
      <c r="M40" s="8">
        <f>(Input!I25 + Input!I26) / Input!I$6</f>
        <v>2.2761593816825192</v>
      </c>
      <c r="N40" s="8">
        <f>(Input!J25 + Input!J26) / Input!J$6</f>
        <v>2.2999703083459635</v>
      </c>
      <c r="O40" s="8">
        <f>AVERAGE(E40:N40)</f>
        <v>2.167962810269465</v>
      </c>
    </row>
    <row r="41" spans="2:15" ht="6" customHeight="1" x14ac:dyDescent="0.2">
      <c r="O41" s="6"/>
    </row>
    <row r="42" spans="2:15" x14ac:dyDescent="0.2">
      <c r="B42" s="9" t="s">
        <v>74</v>
      </c>
      <c r="C42" s="10"/>
      <c r="D42" s="10"/>
      <c r="E42" s="11">
        <f t="shared" ref="E42:N42" si="9">+E38-E40</f>
        <v>-6.4504453273402014</v>
      </c>
      <c r="F42" s="11">
        <f t="shared" si="9"/>
        <v>3.8035606633164947</v>
      </c>
      <c r="G42" s="11">
        <f t="shared" si="9"/>
        <v>13.94848815209356</v>
      </c>
      <c r="H42" s="11">
        <f t="shared" si="9"/>
        <v>6.265154779980592</v>
      </c>
      <c r="I42" s="11">
        <f t="shared" si="9"/>
        <v>-1.9356711641398578</v>
      </c>
      <c r="J42" s="11">
        <f t="shared" si="9"/>
        <v>4.2109299784737413</v>
      </c>
      <c r="K42" s="11">
        <f t="shared" si="9"/>
        <v>7.6576536565650208</v>
      </c>
      <c r="L42" s="11">
        <f t="shared" si="9"/>
        <v>4.9310907631938337</v>
      </c>
      <c r="M42" s="11">
        <f t="shared" si="9"/>
        <v>7.9546985702263759</v>
      </c>
      <c r="N42" s="11">
        <f t="shared" si="9"/>
        <v>12.674038376104191</v>
      </c>
      <c r="O42" s="11">
        <f>AVERAGE(E42:N42)</f>
        <v>5.3059498448473752</v>
      </c>
    </row>
  </sheetData>
  <mergeCells count="3">
    <mergeCell ref="D1:M1"/>
    <mergeCell ref="D2:M2"/>
    <mergeCell ref="D3:M3"/>
  </mergeCells>
  <phoneticPr fontId="0" type="noConversion"/>
  <printOptions horizontalCentered="1"/>
  <pageMargins left="0.78740157480314965" right="0.78740157480314965" top="0.78740157480314965" bottom="0.78740157480314965" header="0.43307086614173229" footer="0.43307086614173229"/>
  <pageSetup paperSize="9" orientation="landscape" r:id="rId1"/>
  <headerFooter alignWithMargins="0">
    <oddFooter>&amp;L&amp;8BOKU / HVLFÖ&amp;C&amp;8DVR-Nr: 0890723 &amp;R&amp;8&amp;D</oddFooter>
  </headerFooter>
  <rowBreaks count="1" manualBreakCount="1">
    <brk id="43" max="16383" man="1"/>
  </rowBreaks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dimension ref="A1:O42"/>
  <sheetViews>
    <sheetView workbookViewId="0">
      <selection activeCell="D2" sqref="D2:M2"/>
    </sheetView>
  </sheetViews>
  <sheetFormatPr baseColWidth="10" defaultRowHeight="12.75" x14ac:dyDescent="0.2"/>
  <cols>
    <col min="1" max="1" width="0.7109375" customWidth="1"/>
    <col min="2" max="2" width="10.28515625" customWidth="1"/>
    <col min="3" max="3" width="8.7109375" customWidth="1"/>
    <col min="4" max="4" width="9.7109375" customWidth="1"/>
    <col min="5" max="10" width="8.7109375" customWidth="1"/>
    <col min="11" max="11" width="8.85546875" customWidth="1"/>
    <col min="12" max="14" width="8.7109375" customWidth="1"/>
    <col min="15" max="15" width="10.7109375" customWidth="1"/>
  </cols>
  <sheetData>
    <row r="1" spans="1:15" ht="15.75" customHeight="1" x14ac:dyDescent="0.25">
      <c r="A1" t="s">
        <v>48</v>
      </c>
      <c r="C1" s="12">
        <f>Input!A3</f>
        <v>2024</v>
      </c>
      <c r="D1" s="36" t="s">
        <v>14</v>
      </c>
      <c r="E1" s="36"/>
      <c r="F1" s="36"/>
      <c r="G1" s="36"/>
      <c r="H1" s="36"/>
      <c r="I1" s="36"/>
      <c r="J1" s="36"/>
      <c r="K1" s="36"/>
      <c r="L1" s="36"/>
      <c r="M1" s="36"/>
      <c r="O1" s="3" t="s">
        <v>254</v>
      </c>
    </row>
    <row r="2" spans="1:15" ht="15.75" customHeight="1" x14ac:dyDescent="0.2">
      <c r="D2" s="37" t="str">
        <f>Kenndat!D2</f>
        <v>Produktionsgebiet 1: Alpenvorland</v>
      </c>
      <c r="E2" s="37"/>
      <c r="F2" s="37"/>
      <c r="G2" s="37"/>
      <c r="H2" s="37"/>
      <c r="I2" s="37"/>
      <c r="J2" s="37"/>
      <c r="K2" s="37"/>
      <c r="L2" s="37"/>
      <c r="M2" s="37"/>
    </row>
    <row r="3" spans="1:15" ht="15.75" customHeight="1" x14ac:dyDescent="0.2">
      <c r="D3" s="38" t="s">
        <v>170</v>
      </c>
      <c r="E3" s="38"/>
      <c r="F3" s="38"/>
      <c r="G3" s="38"/>
      <c r="H3" s="38"/>
      <c r="I3" s="38"/>
      <c r="J3" s="38"/>
      <c r="K3" s="38"/>
      <c r="L3" s="38"/>
      <c r="M3" s="38"/>
    </row>
    <row r="4" spans="1:15" ht="3.75" customHeight="1" x14ac:dyDescent="0.2"/>
    <row r="5" spans="1:15" ht="12.75" customHeight="1" x14ac:dyDescent="0.2">
      <c r="B5" t="s">
        <v>72</v>
      </c>
      <c r="E5" s="3">
        <f>Input!A3</f>
        <v>2024</v>
      </c>
      <c r="F5" s="3">
        <f>+E5-1</f>
        <v>2023</v>
      </c>
      <c r="G5" s="3">
        <f t="shared" ref="G5:N5" si="0">+F5-1</f>
        <v>2022</v>
      </c>
      <c r="H5" s="3">
        <f t="shared" si="0"/>
        <v>2021</v>
      </c>
      <c r="I5" s="3">
        <f t="shared" si="0"/>
        <v>2020</v>
      </c>
      <c r="J5" s="3">
        <f t="shared" si="0"/>
        <v>2019</v>
      </c>
      <c r="K5" s="3">
        <f t="shared" si="0"/>
        <v>2018</v>
      </c>
      <c r="L5" s="3">
        <f t="shared" si="0"/>
        <v>2017</v>
      </c>
      <c r="M5" s="3">
        <f t="shared" si="0"/>
        <v>2016</v>
      </c>
      <c r="N5" s="3">
        <f t="shared" si="0"/>
        <v>2015</v>
      </c>
      <c r="O5" s="3" t="s">
        <v>16</v>
      </c>
    </row>
    <row r="6" spans="1:15" ht="7.5" customHeight="1" x14ac:dyDescent="0.2"/>
    <row r="7" spans="1:15" ht="12" customHeight="1" x14ac:dyDescent="0.2">
      <c r="B7" t="s">
        <v>49</v>
      </c>
      <c r="E7" s="6">
        <f>Input!A8/Input!A5</f>
        <v>0</v>
      </c>
      <c r="F7" s="6">
        <f>Input!B8/Input!B5</f>
        <v>0</v>
      </c>
      <c r="G7" s="6">
        <f>Input!C8/Input!C5</f>
        <v>0</v>
      </c>
      <c r="H7" s="6">
        <f>Input!D8/Input!D5</f>
        <v>0</v>
      </c>
      <c r="I7" s="6">
        <f>Input!E8/Input!E5</f>
        <v>0.11006443298969072</v>
      </c>
      <c r="J7" s="6">
        <f>Input!F8/Input!F5</f>
        <v>9.6069527363184082E-2</v>
      </c>
      <c r="K7" s="6">
        <f>Input!G8/Input!G5</f>
        <v>0</v>
      </c>
      <c r="L7" s="6">
        <f>Input!H8/Input!H5</f>
        <v>1.6055825242718448E-3</v>
      </c>
      <c r="M7" s="6">
        <f>Input!I8/Input!I5</f>
        <v>6.267741273100616E-2</v>
      </c>
      <c r="N7" s="6">
        <f>Input!J8/Input!J5</f>
        <v>0</v>
      </c>
      <c r="O7" s="6">
        <f>AVERAGE(E7:N7)</f>
        <v>2.7041695560815281E-2</v>
      </c>
    </row>
    <row r="8" spans="1:15" ht="12" customHeight="1" x14ac:dyDescent="0.2">
      <c r="B8" t="s">
        <v>50</v>
      </c>
      <c r="E8" s="6">
        <f>Input!A9/Input!A5</f>
        <v>4.2920193939393947</v>
      </c>
      <c r="F8" s="6">
        <f>Input!B9/Input!B5</f>
        <v>4.796527134986226</v>
      </c>
      <c r="G8" s="6">
        <f>Input!C9/Input!C5</f>
        <v>4.8193442148760335</v>
      </c>
      <c r="H8" s="6">
        <f>Input!D9/Input!D5</f>
        <v>4.2617884297520661</v>
      </c>
      <c r="I8" s="6">
        <f>Input!E9/Input!E5</f>
        <v>4.1490954896907217</v>
      </c>
      <c r="J8" s="6">
        <f>Input!F9/Input!F5</f>
        <v>3.4255264925373137</v>
      </c>
      <c r="K8" s="6">
        <f>Input!G9/Input!G5</f>
        <v>2.8550248157248155</v>
      </c>
      <c r="L8" s="6">
        <f>Input!H9/Input!H5</f>
        <v>3.3297874999999997</v>
      </c>
      <c r="M8" s="6">
        <f>Input!I9/Input!I5</f>
        <v>3.6856770020533882</v>
      </c>
      <c r="N8" s="6">
        <f>Input!J9/Input!J5</f>
        <v>3.1372950509461428</v>
      </c>
      <c r="O8" s="6">
        <f t="shared" ref="O8:O42" si="1">AVERAGE(E8:N8)</f>
        <v>3.8752085524506099</v>
      </c>
    </row>
    <row r="9" spans="1:15" ht="12" customHeight="1" x14ac:dyDescent="0.2">
      <c r="B9" t="s">
        <v>51</v>
      </c>
      <c r="E9" s="6">
        <f>Input!A10/Input!A5</f>
        <v>5.8637809090909085</v>
      </c>
      <c r="F9" s="6">
        <f>Input!B10/Input!B5</f>
        <v>4.5423177685950415</v>
      </c>
      <c r="G9" s="6">
        <f>Input!C10/Input!C5</f>
        <v>4.392002203856749</v>
      </c>
      <c r="H9" s="6">
        <f>Input!D10/Input!D5</f>
        <v>5.2443765840220387</v>
      </c>
      <c r="I9" s="6">
        <f>Input!E10/Input!E5</f>
        <v>5.027900773195876</v>
      </c>
      <c r="J9" s="6">
        <f>Input!F10/Input!F5</f>
        <v>4.8521643034825868</v>
      </c>
      <c r="K9" s="6">
        <f>Input!G10/Input!G5</f>
        <v>5.0428637592137591</v>
      </c>
      <c r="L9" s="6">
        <f>Input!H10/Input!H5</f>
        <v>3.1440192961165048</v>
      </c>
      <c r="M9" s="6">
        <f>Input!I10/Input!I5</f>
        <v>3.18837659137577</v>
      </c>
      <c r="N9" s="6">
        <f>Input!J10/Input!J5</f>
        <v>2.1200285298398835</v>
      </c>
      <c r="O9" s="6">
        <f t="shared" si="1"/>
        <v>4.3417830718789121</v>
      </c>
    </row>
    <row r="10" spans="1:15" ht="12" customHeight="1" x14ac:dyDescent="0.2">
      <c r="B10" t="s">
        <v>52</v>
      </c>
      <c r="E10" s="6">
        <f>Input!A11/Input!A5</f>
        <v>2.2654433333333333</v>
      </c>
      <c r="F10" s="6">
        <f>Input!B11/Input!B5</f>
        <v>0.48529090909090911</v>
      </c>
      <c r="G10" s="6">
        <f>Input!C11/Input!C5</f>
        <v>0.27151267217630853</v>
      </c>
      <c r="H10" s="6">
        <f>Input!D11/Input!D5</f>
        <v>0.85720730027548209</v>
      </c>
      <c r="I10" s="6">
        <f>Input!E11/Input!E5</f>
        <v>0.66760940721649487</v>
      </c>
      <c r="J10" s="6">
        <f>Input!F11/Input!F5</f>
        <v>0.72009676616915419</v>
      </c>
      <c r="K10" s="6">
        <f>Input!G11/Input!G5</f>
        <v>1.1774130221130221</v>
      </c>
      <c r="L10" s="6">
        <f>Input!H11/Input!H5</f>
        <v>0.93065497572815536</v>
      </c>
      <c r="M10" s="6">
        <f>Input!I11/Input!I5</f>
        <v>1.9349854209445585</v>
      </c>
      <c r="N10" s="6">
        <f>Input!J11/Input!J5</f>
        <v>1.2676855895196506</v>
      </c>
      <c r="O10" s="6">
        <f t="shared" si="1"/>
        <v>1.057789939656707</v>
      </c>
    </row>
    <row r="11" spans="1:15" ht="12" customHeight="1" x14ac:dyDescent="0.2">
      <c r="B11" t="s">
        <v>53</v>
      </c>
      <c r="E11" s="6">
        <f>Input!A12/Input!A5</f>
        <v>2.6026321212121211</v>
      </c>
      <c r="F11" s="6">
        <f>Input!B12/Input!B5</f>
        <v>2.1783881542699728</v>
      </c>
      <c r="G11" s="6">
        <f>Input!C12/Input!C5</f>
        <v>1.9145842975206613</v>
      </c>
      <c r="H11" s="6">
        <f>Input!D12/Input!D5</f>
        <v>2.3921530303030303</v>
      </c>
      <c r="I11" s="6">
        <f>Input!E12/Input!E5</f>
        <v>2.2057570876288661</v>
      </c>
      <c r="J11" s="6">
        <f>Input!F12/Input!F5</f>
        <v>1.9275499999999999</v>
      </c>
      <c r="K11" s="6">
        <f>Input!G12/Input!G5</f>
        <v>2.323845331695332</v>
      </c>
      <c r="L11" s="6">
        <f>Input!H12/Input!H5</f>
        <v>2.1686251213592231</v>
      </c>
      <c r="M11" s="6">
        <f>Input!I12/Input!I5</f>
        <v>4.8207283367556473</v>
      </c>
      <c r="N11" s="6">
        <f>Input!J12/Input!J5</f>
        <v>3.6809963609898109</v>
      </c>
      <c r="O11" s="6">
        <f t="shared" si="1"/>
        <v>2.6215259841734664</v>
      </c>
    </row>
    <row r="12" spans="1:15" ht="12" customHeight="1" x14ac:dyDescent="0.2">
      <c r="B12" t="s">
        <v>54</v>
      </c>
      <c r="E12" s="6">
        <f>Input!A13/Input!A5</f>
        <v>0.78103439393939389</v>
      </c>
      <c r="F12" s="6">
        <f>Input!B13/Input!B5</f>
        <v>0.71903980716253446</v>
      </c>
      <c r="G12" s="6">
        <f>Input!C13/Input!C5</f>
        <v>0.51330647382920114</v>
      </c>
      <c r="H12" s="6">
        <f>Input!D13/Input!D5</f>
        <v>0.5357409090909091</v>
      </c>
      <c r="I12" s="6">
        <f>Input!E13/Input!E5</f>
        <v>0.47938853092783507</v>
      </c>
      <c r="J12" s="6">
        <f>Input!F13/Input!F5</f>
        <v>0.4432676616915423</v>
      </c>
      <c r="K12" s="6">
        <f>Input!G13/Input!G5</f>
        <v>0.2618162162162162</v>
      </c>
      <c r="L12" s="6">
        <f>Input!H13/Input!H5</f>
        <v>0.20573325242718443</v>
      </c>
      <c r="M12" s="6">
        <f>Input!I13/Input!I5</f>
        <v>0.52612546201232036</v>
      </c>
      <c r="N12" s="6">
        <f>Input!J13/Input!J5</f>
        <v>0.40890931586608442</v>
      </c>
      <c r="O12" s="6">
        <f t="shared" si="1"/>
        <v>0.48743620231632212</v>
      </c>
    </row>
    <row r="13" spans="1:15" ht="13.5" customHeight="1" x14ac:dyDescent="0.2">
      <c r="B13" s="4" t="s">
        <v>55</v>
      </c>
      <c r="E13" s="8">
        <f>SUM(E7:E12)</f>
        <v>15.804910151515152</v>
      </c>
      <c r="F13" s="8">
        <f t="shared" ref="F13:N13" si="2">SUM(F7:F12)</f>
        <v>12.721563774104684</v>
      </c>
      <c r="G13" s="8">
        <f t="shared" si="2"/>
        <v>11.910749862258955</v>
      </c>
      <c r="H13" s="8">
        <f t="shared" si="2"/>
        <v>13.291266253443526</v>
      </c>
      <c r="I13" s="8">
        <f t="shared" si="2"/>
        <v>12.639815721649486</v>
      </c>
      <c r="J13" s="8">
        <f t="shared" si="2"/>
        <v>11.464674751243782</v>
      </c>
      <c r="K13" s="8">
        <f t="shared" si="2"/>
        <v>11.660963144963146</v>
      </c>
      <c r="L13" s="8">
        <f t="shared" si="2"/>
        <v>9.7804257281553397</v>
      </c>
      <c r="M13" s="8">
        <f t="shared" si="2"/>
        <v>14.218570225872689</v>
      </c>
      <c r="N13" s="8">
        <f t="shared" si="2"/>
        <v>10.614914847161574</v>
      </c>
      <c r="O13" s="8">
        <f t="shared" si="1"/>
        <v>12.410785446036831</v>
      </c>
    </row>
    <row r="14" spans="1:15" ht="3" customHeight="1" x14ac:dyDescent="0.2">
      <c r="O14" s="6"/>
    </row>
    <row r="15" spans="1:15" ht="12" customHeight="1" x14ac:dyDescent="0.2">
      <c r="B15" t="s">
        <v>56</v>
      </c>
      <c r="E15" s="6">
        <f>Input!A30/Input!A5</f>
        <v>29.363215757575759</v>
      </c>
      <c r="F15" s="6">
        <f>Input!B30/Input!B5</f>
        <v>27.011567355371902</v>
      </c>
      <c r="G15" s="6">
        <f>Input!C30/Input!C5</f>
        <v>21.010605371900827</v>
      </c>
      <c r="H15" s="6">
        <f>Input!D30/Input!D5</f>
        <v>22.173033884297521</v>
      </c>
      <c r="I15" s="6">
        <f>Input!E30/Input!E5</f>
        <v>21.352990979381445</v>
      </c>
      <c r="J15" s="6">
        <f>Input!F30/Input!F5</f>
        <v>20.591697139303481</v>
      </c>
      <c r="K15" s="6">
        <f>Input!G30/Input!G5</f>
        <v>18.677339434889433</v>
      </c>
      <c r="L15" s="6">
        <f>Input!H30/Input!H5</f>
        <v>19.877854126213592</v>
      </c>
      <c r="M15" s="6">
        <f>Input!I30/Input!I5</f>
        <v>21.489574537987679</v>
      </c>
      <c r="N15" s="6">
        <f>Input!J30/Input!J5</f>
        <v>23.230597379912663</v>
      </c>
      <c r="O15" s="6">
        <f t="shared" si="1"/>
        <v>22.477847596683429</v>
      </c>
    </row>
    <row r="16" spans="1:15" ht="12" customHeight="1" x14ac:dyDescent="0.2">
      <c r="B16" t="s">
        <v>57</v>
      </c>
      <c r="E16" s="6">
        <f>Input!A31/Input!A5</f>
        <v>5.5039381818181816</v>
      </c>
      <c r="F16" s="6">
        <f>Input!B31/Input!B5</f>
        <v>5.2537272727272724</v>
      </c>
      <c r="G16" s="6">
        <f>Input!C31/Input!C5</f>
        <v>4.3656493112947663</v>
      </c>
      <c r="H16" s="6">
        <f>Input!D31/Input!D5</f>
        <v>4.2723377410468313</v>
      </c>
      <c r="I16" s="6">
        <f>Input!E31/Input!E5</f>
        <v>4.2695931701030929</v>
      </c>
      <c r="J16" s="6">
        <f>Input!F31/Input!F5</f>
        <v>3.8079942786069649</v>
      </c>
      <c r="K16" s="6">
        <f>Input!G31/Input!G5</f>
        <v>3.8148754299754297</v>
      </c>
      <c r="L16" s="6">
        <f>Input!H31/Input!H5</f>
        <v>3.8332269417475731</v>
      </c>
      <c r="M16" s="6">
        <f>Input!I31/Input!I5</f>
        <v>1.567123819301848</v>
      </c>
      <c r="N16" s="6">
        <f>Input!J31/Input!J5</f>
        <v>2.3336895196506551</v>
      </c>
      <c r="O16" s="6">
        <f t="shared" si="1"/>
        <v>3.9022155666272615</v>
      </c>
    </row>
    <row r="17" spans="2:15" ht="12" customHeight="1" x14ac:dyDescent="0.2">
      <c r="B17" t="s">
        <v>58</v>
      </c>
      <c r="E17" s="6">
        <f>Input!A32/Input!A5</f>
        <v>3.7858669696969698</v>
      </c>
      <c r="F17" s="6">
        <f>Input!B32/Input!B5</f>
        <v>3.2731519283746553</v>
      </c>
      <c r="G17" s="6">
        <f>Input!C32/Input!C5</f>
        <v>2.502457575757576</v>
      </c>
      <c r="H17" s="6">
        <f>Input!D32/Input!D5</f>
        <v>2.4086855371900828</v>
      </c>
      <c r="I17" s="6">
        <f>Input!E32/Input!E5</f>
        <v>3.3235323453608245</v>
      </c>
      <c r="J17" s="6">
        <f>Input!F32/Input!F5</f>
        <v>3.5091718905472633</v>
      </c>
      <c r="K17" s="6">
        <f>Input!G32/Input!G5</f>
        <v>3.8483942260442259</v>
      </c>
      <c r="L17" s="6">
        <f>Input!H32/Input!H5</f>
        <v>3.3938421116504855</v>
      </c>
      <c r="M17" s="6">
        <f>Input!I32/Input!I5</f>
        <v>1.4139835728952773E-2</v>
      </c>
      <c r="N17" s="6">
        <f>Input!J32/Input!J5</f>
        <v>0.3181640465793304</v>
      </c>
      <c r="O17" s="6">
        <f t="shared" si="1"/>
        <v>2.6377406466930369</v>
      </c>
    </row>
    <row r="18" spans="2:15" ht="12" customHeight="1" x14ac:dyDescent="0.2">
      <c r="B18" t="s">
        <v>59</v>
      </c>
      <c r="E18" s="6">
        <f>Input!A33/Input!A5</f>
        <v>0.82522924242424234</v>
      </c>
      <c r="F18" s="6">
        <f>Input!B33/Input!B5</f>
        <v>0.64953195592286495</v>
      </c>
      <c r="G18" s="6">
        <f>Input!C33/Input!C5</f>
        <v>0.41758746556473825</v>
      </c>
      <c r="H18" s="6">
        <f>Input!D33/Input!D5</f>
        <v>0.34797534435261707</v>
      </c>
      <c r="I18" s="6">
        <f>Input!E33/Input!E5</f>
        <v>0.34545657216494846</v>
      </c>
      <c r="J18" s="6">
        <f>Input!F33/Input!F5</f>
        <v>0.41800447761194026</v>
      </c>
      <c r="K18" s="6">
        <f>Input!G33/Input!G5</f>
        <v>0.29776597051597054</v>
      </c>
      <c r="L18" s="6">
        <f>Input!H33/Input!H5</f>
        <v>0.31331978155339807</v>
      </c>
      <c r="M18" s="6">
        <f>Input!I33/Input!I5</f>
        <v>0.32152340862423001</v>
      </c>
      <c r="N18" s="6">
        <f>Input!J33/Input!J5</f>
        <v>0.29110189228529842</v>
      </c>
      <c r="O18" s="6">
        <f t="shared" si="1"/>
        <v>0.42274961110202486</v>
      </c>
    </row>
    <row r="19" spans="2:15" ht="13.5" customHeight="1" x14ac:dyDescent="0.2">
      <c r="B19" s="4" t="s">
        <v>60</v>
      </c>
      <c r="E19" s="8">
        <f>SUM(E15:E18)</f>
        <v>39.478250151515155</v>
      </c>
      <c r="F19" s="8">
        <f t="shared" ref="F19:N19" si="3">SUM(F15:F18)</f>
        <v>36.187978512396697</v>
      </c>
      <c r="G19" s="8">
        <f t="shared" si="3"/>
        <v>28.296299724517908</v>
      </c>
      <c r="H19" s="8">
        <f t="shared" si="3"/>
        <v>29.202032506887047</v>
      </c>
      <c r="I19" s="8">
        <f t="shared" si="3"/>
        <v>29.291573067010312</v>
      </c>
      <c r="J19" s="8">
        <f t="shared" si="3"/>
        <v>28.326867786069652</v>
      </c>
      <c r="K19" s="8">
        <f t="shared" si="3"/>
        <v>26.638375061425062</v>
      </c>
      <c r="L19" s="8">
        <f t="shared" si="3"/>
        <v>27.418242961165049</v>
      </c>
      <c r="M19" s="8">
        <f t="shared" si="3"/>
        <v>23.392361601642708</v>
      </c>
      <c r="N19" s="8">
        <f t="shared" si="3"/>
        <v>26.173552838427945</v>
      </c>
      <c r="O19" s="8">
        <f t="shared" si="1"/>
        <v>29.440553421105754</v>
      </c>
    </row>
    <row r="20" spans="2:15" ht="3" customHeight="1" x14ac:dyDescent="0.2">
      <c r="O20" s="6"/>
    </row>
    <row r="21" spans="2:15" ht="12" customHeight="1" x14ac:dyDescent="0.2">
      <c r="B21" t="s">
        <v>61</v>
      </c>
      <c r="E21" s="6">
        <f>Input!A18/Input!A5</f>
        <v>4.2709322727272729</v>
      </c>
      <c r="F21" s="6">
        <f>Input!B18/Input!B5</f>
        <v>4.2393165289256203</v>
      </c>
      <c r="G21" s="6">
        <f>Input!C18/Input!C5</f>
        <v>2.844925482093664</v>
      </c>
      <c r="H21" s="6">
        <f>Input!D18/Input!D5</f>
        <v>3.1945008264462813</v>
      </c>
      <c r="I21" s="6">
        <f>Input!E18/Input!E5</f>
        <v>2.7038818298969072</v>
      </c>
      <c r="J21" s="6">
        <f>Input!F18/Input!F5</f>
        <v>1.8000300995024878</v>
      </c>
      <c r="K21" s="6">
        <f>Input!G18/Input!G5</f>
        <v>2.9788124078624079</v>
      </c>
      <c r="L21" s="6">
        <f>Input!H18/Input!H5</f>
        <v>3.3225018203883496</v>
      </c>
      <c r="M21" s="6">
        <f>Input!I18/Input!I5</f>
        <v>2.5356164271047228</v>
      </c>
      <c r="N21" s="6">
        <f>Input!J18/Input!J5</f>
        <v>3.5971244541484717</v>
      </c>
      <c r="O21" s="6">
        <f t="shared" si="1"/>
        <v>3.1487642149096184</v>
      </c>
    </row>
    <row r="22" spans="2:15" ht="12" customHeight="1" x14ac:dyDescent="0.2">
      <c r="B22" t="s">
        <v>255</v>
      </c>
      <c r="E22" s="6">
        <f>Input!A19/Input!A5</f>
        <v>3.0855054545454546</v>
      </c>
      <c r="F22" s="6">
        <f>Input!B19/Input!B5</f>
        <v>4.2423123966942153</v>
      </c>
      <c r="G22" s="6">
        <f>Input!C19/Input!C5</f>
        <v>3.7244220385674929</v>
      </c>
      <c r="H22" s="6">
        <f>Input!D19/Input!D5</f>
        <v>2.737695179063361</v>
      </c>
      <c r="I22" s="6">
        <f>Input!E19/Input!E5</f>
        <v>3.0848653350515463</v>
      </c>
      <c r="J22" s="6">
        <f>Input!F19/Input!F5</f>
        <v>2.9319643034825869</v>
      </c>
      <c r="K22" s="6">
        <f>Input!G19/Input!G5</f>
        <v>2.3178626535626536</v>
      </c>
      <c r="L22" s="6">
        <f>Input!H19/Input!H5</f>
        <v>2.8718908980582523</v>
      </c>
      <c r="M22" s="6">
        <f>Input!I19/Input!I5</f>
        <v>2.5135630390143739</v>
      </c>
      <c r="N22" s="6">
        <f>Input!J19/Input!J5</f>
        <v>8.8277810771470175</v>
      </c>
      <c r="O22" s="6">
        <f t="shared" si="1"/>
        <v>3.633786237518696</v>
      </c>
    </row>
    <row r="23" spans="2:15" ht="12" customHeight="1" x14ac:dyDescent="0.2">
      <c r="B23" t="s">
        <v>62</v>
      </c>
      <c r="E23" s="6">
        <f>Input!A20/Input!A5</f>
        <v>0</v>
      </c>
      <c r="F23" s="6">
        <f>Input!B20/Input!B5</f>
        <v>0</v>
      </c>
      <c r="G23" s="6">
        <f>Input!C20/Input!C5</f>
        <v>6.3646005509641876E-2</v>
      </c>
      <c r="H23" s="6">
        <f>Input!D20/Input!D5</f>
        <v>0</v>
      </c>
      <c r="I23" s="6">
        <f>Input!E20/Input!E5</f>
        <v>0</v>
      </c>
      <c r="J23" s="6">
        <f>Input!F20/Input!F5</f>
        <v>0</v>
      </c>
      <c r="K23" s="6">
        <f>Input!G20/Input!G5</f>
        <v>9.5089680589680592E-3</v>
      </c>
      <c r="L23" s="6">
        <f>Input!H20/Input!H5</f>
        <v>2.2009830097087377E-2</v>
      </c>
      <c r="M23" s="6">
        <f>Input!I20/Input!I5</f>
        <v>3.2621355236139633E-2</v>
      </c>
      <c r="N23" s="6">
        <f>Input!J20/Input!J5</f>
        <v>0</v>
      </c>
      <c r="O23" s="6">
        <f t="shared" si="1"/>
        <v>1.2778615890183694E-2</v>
      </c>
    </row>
    <row r="24" spans="2:15" ht="13.5" customHeight="1" x14ac:dyDescent="0.2">
      <c r="B24" s="4" t="s">
        <v>63</v>
      </c>
      <c r="E24" s="8">
        <f>SUM(E21:E23)</f>
        <v>7.356437727272727</v>
      </c>
      <c r="F24" s="8">
        <f t="shared" ref="F24:N24" si="4">SUM(F21:F23)</f>
        <v>8.4816289256198356</v>
      </c>
      <c r="G24" s="8">
        <f t="shared" si="4"/>
        <v>6.6329935261707993</v>
      </c>
      <c r="H24" s="8">
        <f t="shared" si="4"/>
        <v>5.9321960055096419</v>
      </c>
      <c r="I24" s="8">
        <f t="shared" si="4"/>
        <v>5.7887471649484539</v>
      </c>
      <c r="J24" s="8">
        <f t="shared" si="4"/>
        <v>4.7319944029850749</v>
      </c>
      <c r="K24" s="8">
        <f t="shared" si="4"/>
        <v>5.3061840294840295</v>
      </c>
      <c r="L24" s="8">
        <f t="shared" si="4"/>
        <v>6.21640254854369</v>
      </c>
      <c r="M24" s="8">
        <f t="shared" si="4"/>
        <v>5.0818008213552366</v>
      </c>
      <c r="N24" s="8">
        <f t="shared" si="4"/>
        <v>12.42490553129549</v>
      </c>
      <c r="O24" s="8">
        <f t="shared" si="1"/>
        <v>6.7953290683184973</v>
      </c>
    </row>
    <row r="25" spans="2:15" ht="3" customHeight="1" x14ac:dyDescent="0.2">
      <c r="O25" s="6"/>
    </row>
    <row r="26" spans="2:15" ht="12" customHeight="1" x14ac:dyDescent="0.2">
      <c r="B26" t="s">
        <v>64</v>
      </c>
      <c r="E26" s="6">
        <f>Input!A21/Input!A5</f>
        <v>0.85189060606060607</v>
      </c>
      <c r="F26" s="6">
        <f>Input!B21/Input!B5</f>
        <v>0.96380592286501376</v>
      </c>
      <c r="G26" s="6">
        <f>Input!C21/Input!C5</f>
        <v>0.91606143250688699</v>
      </c>
      <c r="H26" s="6">
        <f>Input!D21/Input!D5</f>
        <v>0.90368608815426998</v>
      </c>
      <c r="I26" s="6">
        <f>Input!E21/Input!E5</f>
        <v>0.74419085051546385</v>
      </c>
      <c r="J26" s="6">
        <f>Input!F21/Input!F5</f>
        <v>0.80492848258706473</v>
      </c>
      <c r="K26" s="6">
        <f>Input!G21/Input!G5</f>
        <v>1.2182281326781328</v>
      </c>
      <c r="L26" s="6">
        <f>Input!H21/Input!H5</f>
        <v>1.0799222087378639</v>
      </c>
      <c r="M26" s="6">
        <f>Input!I21/Input!I5</f>
        <v>0.71552361396303898</v>
      </c>
      <c r="N26" s="6">
        <f>Input!J21/Input!J5</f>
        <v>1.0736525473071323</v>
      </c>
      <c r="O26" s="6">
        <f t="shared" si="1"/>
        <v>0.92718898853754739</v>
      </c>
    </row>
    <row r="27" spans="2:15" ht="12" customHeight="1" x14ac:dyDescent="0.2">
      <c r="B27" t="s">
        <v>65</v>
      </c>
      <c r="E27" s="6">
        <f>Input!A22/Input!A5</f>
        <v>13.17299212121212</v>
      </c>
      <c r="F27" s="6">
        <f>Input!B22/Input!B5</f>
        <v>16.076282644628101</v>
      </c>
      <c r="G27" s="6">
        <f>Input!C22/Input!C5</f>
        <v>14.932105785123966</v>
      </c>
      <c r="H27" s="6">
        <f>Input!D22/Input!D5</f>
        <v>14.997400275482093</v>
      </c>
      <c r="I27" s="6">
        <f>Input!E22/Input!E5</f>
        <v>13.439241237113402</v>
      </c>
      <c r="J27" s="6">
        <f>Input!F22/Input!F5</f>
        <v>12.799899378109453</v>
      </c>
      <c r="K27" s="6">
        <f>Input!G22/Input!G5</f>
        <v>12.341457002457002</v>
      </c>
      <c r="L27" s="6">
        <f>Input!H22/Input!H5</f>
        <v>12.19273640776699</v>
      </c>
      <c r="M27" s="6">
        <f>Input!I22/Input!I5</f>
        <v>11.57816160164271</v>
      </c>
      <c r="N27" s="6">
        <f>Input!J22/Input!J5</f>
        <v>12.431808151382823</v>
      </c>
      <c r="O27" s="6">
        <f t="shared" si="1"/>
        <v>13.396208460491867</v>
      </c>
    </row>
    <row r="28" spans="2:15" ht="12" customHeight="1" x14ac:dyDescent="0.2">
      <c r="B28" t="s">
        <v>66</v>
      </c>
      <c r="E28" s="6">
        <f>Input!A23/Input!A5</f>
        <v>1.7077753030303029</v>
      </c>
      <c r="F28" s="6">
        <f>Input!B23/Input!B5</f>
        <v>1.8628902203856748</v>
      </c>
      <c r="G28" s="6">
        <f>Input!C23/Input!C5</f>
        <v>1.9887681818181819</v>
      </c>
      <c r="H28" s="6">
        <f>Input!D23/Input!D5</f>
        <v>1.9659749311294765</v>
      </c>
      <c r="I28" s="6">
        <f>Input!E23/Input!E5</f>
        <v>1.8423707474226805</v>
      </c>
      <c r="J28" s="6">
        <f>Input!F23/Input!F5</f>
        <v>1.7855095771144278</v>
      </c>
      <c r="K28" s="6">
        <f>Input!G23/Input!G5</f>
        <v>1.7996637592137592</v>
      </c>
      <c r="L28" s="6">
        <f>Input!H23/Input!H5</f>
        <v>1.6047723300970873</v>
      </c>
      <c r="M28" s="6">
        <f>Input!I23/Input!I5</f>
        <v>1.6959509240246406</v>
      </c>
      <c r="N28" s="6">
        <f>Input!J23/Input!J5</f>
        <v>2.2660189228529841</v>
      </c>
      <c r="O28" s="6">
        <f t="shared" si="1"/>
        <v>1.8519694897089216</v>
      </c>
    </row>
    <row r="29" spans="2:15" ht="13.5" customHeight="1" x14ac:dyDescent="0.2">
      <c r="B29" s="4" t="s">
        <v>15</v>
      </c>
      <c r="E29" s="8">
        <f>SUM(E26:E28)</f>
        <v>15.732658030303028</v>
      </c>
      <c r="F29" s="8">
        <f t="shared" ref="F29:N29" si="5">SUM(F26:F28)</f>
        <v>18.902978787878791</v>
      </c>
      <c r="G29" s="8">
        <f t="shared" si="5"/>
        <v>17.836935399449033</v>
      </c>
      <c r="H29" s="8">
        <f t="shared" si="5"/>
        <v>17.86706129476584</v>
      </c>
      <c r="I29" s="8">
        <f t="shared" si="5"/>
        <v>16.025802835051547</v>
      </c>
      <c r="J29" s="8">
        <f t="shared" si="5"/>
        <v>15.390337437810945</v>
      </c>
      <c r="K29" s="8">
        <f t="shared" si="5"/>
        <v>15.359348894348894</v>
      </c>
      <c r="L29" s="8">
        <f t="shared" si="5"/>
        <v>14.877430946601942</v>
      </c>
      <c r="M29" s="8">
        <f t="shared" si="5"/>
        <v>13.989636139630392</v>
      </c>
      <c r="N29" s="8">
        <f t="shared" si="5"/>
        <v>15.771479621542939</v>
      </c>
      <c r="O29" s="8">
        <f t="shared" si="1"/>
        <v>16.175366938738335</v>
      </c>
    </row>
    <row r="30" spans="2:15" ht="3" customHeight="1" x14ac:dyDescent="0.2">
      <c r="O30" s="6"/>
    </row>
    <row r="31" spans="2:15" x14ac:dyDescent="0.2">
      <c r="B31" s="1" t="s">
        <v>67</v>
      </c>
      <c r="E31" s="7">
        <f>SUM(E13,E19,E24,E29)</f>
        <v>78.372256060606063</v>
      </c>
      <c r="F31" s="7">
        <f t="shared" ref="F31:N31" si="6">SUM(F13,F19,F24,F29)</f>
        <v>76.294150000000002</v>
      </c>
      <c r="G31" s="7">
        <f t="shared" si="6"/>
        <v>64.676978512396687</v>
      </c>
      <c r="H31" s="7">
        <f t="shared" si="6"/>
        <v>66.292556060606046</v>
      </c>
      <c r="I31" s="7">
        <f t="shared" si="6"/>
        <v>63.745938788659799</v>
      </c>
      <c r="J31" s="7">
        <f t="shared" si="6"/>
        <v>59.913874378109455</v>
      </c>
      <c r="K31" s="7">
        <f t="shared" si="6"/>
        <v>58.964871130221127</v>
      </c>
      <c r="L31" s="7">
        <f t="shared" si="6"/>
        <v>58.292502184466017</v>
      </c>
      <c r="M31" s="7">
        <f t="shared" si="6"/>
        <v>56.68236878850103</v>
      </c>
      <c r="N31" s="7">
        <f t="shared" si="6"/>
        <v>64.98485283842794</v>
      </c>
      <c r="O31" s="7">
        <f t="shared" si="1"/>
        <v>64.822034874199417</v>
      </c>
    </row>
    <row r="32" spans="2:15" ht="6" customHeight="1" x14ac:dyDescent="0.2">
      <c r="O32" s="6"/>
    </row>
    <row r="33" spans="2:15" ht="12" customHeight="1" x14ac:dyDescent="0.2">
      <c r="B33" t="s">
        <v>303</v>
      </c>
      <c r="E33" s="6">
        <f>(Input!A35+Input!A209)/Input!A36</f>
        <v>69.201254001784264</v>
      </c>
      <c r="F33" s="6">
        <f>(Input!B35+Input!B209)/Input!B36</f>
        <v>74.372242149014966</v>
      </c>
      <c r="G33" s="6">
        <f>(Input!C35+Input!C209)/Input!C36</f>
        <v>70.964039907536758</v>
      </c>
      <c r="H33" s="6">
        <f>(Input!D35+Input!D209)/Input!D36</f>
        <v>65.753581287739053</v>
      </c>
      <c r="I33" s="6">
        <f>(Input!E35+Input!E209)/Input!E36</f>
        <v>58.089473809141595</v>
      </c>
      <c r="J33" s="6">
        <f>(Input!F35+Input!F209)/Input!F36</f>
        <v>58.662761293989689</v>
      </c>
      <c r="K33" s="6">
        <f>(Input!G35+Input!G209)/Input!G36</f>
        <v>60.33807091130646</v>
      </c>
      <c r="L33" s="6">
        <f>(Input!H35+Input!H209)/Input!H36</f>
        <v>60.587210160756733</v>
      </c>
      <c r="M33" s="6">
        <f>(Input!I35+Input!I209)/Input!I36</f>
        <v>61.63419042262538</v>
      </c>
      <c r="N33" s="6">
        <f>(Input!J35+Input!J209)/Input!J36</f>
        <v>66.684028734267542</v>
      </c>
      <c r="O33" s="6">
        <f t="shared" si="1"/>
        <v>64.628685267816238</v>
      </c>
    </row>
    <row r="34" spans="2:15" ht="12" customHeight="1" x14ac:dyDescent="0.2">
      <c r="B34" t="s">
        <v>69</v>
      </c>
      <c r="E34" s="6">
        <f>Input!A28/Input!A5*Input!A6/Input!A34</f>
        <v>1.4043501123881927E-2</v>
      </c>
      <c r="F34" s="6">
        <f>Input!B28/Input!B5*Input!B6/Input!B34</f>
        <v>5.6397218030545045E-2</v>
      </c>
      <c r="G34" s="6">
        <f>Input!C28/Input!C5*Input!C6/Input!C34</f>
        <v>2.6647160778734587E-2</v>
      </c>
      <c r="H34" s="6">
        <f>Input!D28/Input!D5*Input!D6/Input!D34</f>
        <v>0.1407715536011597</v>
      </c>
      <c r="I34" s="6">
        <f>Input!E28/Input!E5*Input!E6/Input!E34</f>
        <v>5.6683523665345348E-2</v>
      </c>
      <c r="J34" s="6">
        <f>Input!F28/Input!F5*Input!F6/Input!F34</f>
        <v>0.14084481494949655</v>
      </c>
      <c r="K34" s="6">
        <f>Input!G28/Input!G5*Input!G6/Input!G34</f>
        <v>0.10285654070512446</v>
      </c>
      <c r="L34" s="6">
        <f>Input!H28/Input!H5*Input!H6/Input!H34</f>
        <v>8.5043416404319255E-2</v>
      </c>
      <c r="M34" s="6">
        <f>Input!I28/Input!I5*Input!I6/Input!I34</f>
        <v>0.13362248257582493</v>
      </c>
      <c r="N34" s="6">
        <f>Input!J28/Input!J5*Input!J6/Input!J34</f>
        <v>4.6619512073676775E-2</v>
      </c>
      <c r="O34" s="6">
        <f t="shared" si="1"/>
        <v>8.0352972390810851E-2</v>
      </c>
    </row>
    <row r="35" spans="2:15" ht="12" customHeight="1" x14ac:dyDescent="0.2">
      <c r="B35" t="s">
        <v>75</v>
      </c>
      <c r="E35" s="6">
        <f>(Input!A29-Input!A203-Input!A207)/Input!A5*Input!A6/Input!A34</f>
        <v>7.8941245069908907</v>
      </c>
      <c r="F35" s="6">
        <f>(Input!B29-Input!B203-Input!B207)/Input!B5*Input!B6/Input!B34</f>
        <v>9.5135897205919271</v>
      </c>
      <c r="G35" s="6">
        <f>(Input!C29-Input!C203-Input!C207)/Input!C5*Input!C6/Input!C34</f>
        <v>7.7943935493978467</v>
      </c>
      <c r="H35" s="6">
        <f>(Input!D29-Input!D203-Input!D207)/Input!D5*Input!D6/Input!D34</f>
        <v>6.6534747556963145</v>
      </c>
      <c r="I35" s="6">
        <f>(Input!E29-Input!E203-Input!E207)/Input!E5*Input!E6/Input!E34</f>
        <v>6.5924897061727021</v>
      </c>
      <c r="J35" s="6">
        <f>(Input!F29-Input!F203-Input!F207)/Input!F5*Input!F6/Input!F34</f>
        <v>5.1248549715815068</v>
      </c>
      <c r="K35" s="6">
        <f>(Input!G29-Input!G203-Input!G207)/Input!G5*Input!G6/Input!G34</f>
        <v>7.493116549847386</v>
      </c>
      <c r="L35" s="6">
        <f>(Input!H29-Input!H203-Input!H207)/Input!H5*Input!H6/Input!H34</f>
        <v>5.0436011412873674</v>
      </c>
      <c r="M35" s="6">
        <f>(Input!I29-Input!I203-Input!I207)/Input!I5*Input!I6/Input!I34</f>
        <v>5.4640876405872962</v>
      </c>
      <c r="N35" s="6">
        <f>(Input!J29-Input!J203-Input!J207)/Input!J5*Input!J6/Input!J34</f>
        <v>6.9465551102496903</v>
      </c>
      <c r="O35" s="6">
        <f t="shared" si="1"/>
        <v>6.8520287652402931</v>
      </c>
    </row>
    <row r="36" spans="2:15" ht="13.5" customHeight="1" x14ac:dyDescent="0.2">
      <c r="B36" s="1" t="s">
        <v>71</v>
      </c>
      <c r="E36" s="7">
        <f>SUM(E33:E35)</f>
        <v>77.109422009899035</v>
      </c>
      <c r="F36" s="7">
        <f t="shared" ref="F36:N36" si="7">SUM(F33:F35)</f>
        <v>83.942229087637429</v>
      </c>
      <c r="G36" s="7">
        <f t="shared" si="7"/>
        <v>78.785080617713348</v>
      </c>
      <c r="H36" s="7">
        <f t="shared" si="7"/>
        <v>72.547827597036516</v>
      </c>
      <c r="I36" s="7">
        <f t="shared" si="7"/>
        <v>64.738647038979636</v>
      </c>
      <c r="J36" s="7">
        <f t="shared" si="7"/>
        <v>63.928461080520691</v>
      </c>
      <c r="K36" s="7">
        <f t="shared" si="7"/>
        <v>67.934044001858979</v>
      </c>
      <c r="L36" s="7">
        <f t="shared" si="7"/>
        <v>65.715854718448412</v>
      </c>
      <c r="M36" s="7">
        <f t="shared" si="7"/>
        <v>67.231900545788505</v>
      </c>
      <c r="N36" s="7">
        <f t="shared" si="7"/>
        <v>73.677203356590908</v>
      </c>
      <c r="O36" s="7">
        <f t="shared" si="1"/>
        <v>71.561067005447342</v>
      </c>
    </row>
    <row r="37" spans="2:15" ht="5.25" customHeight="1" x14ac:dyDescent="0.2">
      <c r="O37" s="6"/>
    </row>
    <row r="38" spans="2:15" x14ac:dyDescent="0.2">
      <c r="B38" s="9" t="s">
        <v>73</v>
      </c>
      <c r="C38" s="10"/>
      <c r="D38" s="10"/>
      <c r="E38" s="11">
        <f>E36-E31</f>
        <v>-1.2628340507070277</v>
      </c>
      <c r="F38" s="11">
        <f t="shared" ref="F38:N38" si="8">F36-F31</f>
        <v>7.6480790876374272</v>
      </c>
      <c r="G38" s="11">
        <f t="shared" si="8"/>
        <v>14.108102105316661</v>
      </c>
      <c r="H38" s="11">
        <f t="shared" si="8"/>
        <v>6.2552715364304703</v>
      </c>
      <c r="I38" s="11">
        <f t="shared" si="8"/>
        <v>0.99270825031983634</v>
      </c>
      <c r="J38" s="11">
        <f t="shared" si="8"/>
        <v>4.0145867024112363</v>
      </c>
      <c r="K38" s="11">
        <f t="shared" si="8"/>
        <v>8.969172871637852</v>
      </c>
      <c r="L38" s="11">
        <f t="shared" si="8"/>
        <v>7.4233525339823956</v>
      </c>
      <c r="M38" s="11">
        <f t="shared" si="8"/>
        <v>10.549531757287475</v>
      </c>
      <c r="N38" s="11">
        <f t="shared" si="8"/>
        <v>8.6923505181629679</v>
      </c>
      <c r="O38" s="11">
        <f t="shared" si="1"/>
        <v>6.7390321312479298</v>
      </c>
    </row>
    <row r="39" spans="2:15" ht="6" customHeight="1" x14ac:dyDescent="0.2">
      <c r="O39" s="6"/>
    </row>
    <row r="40" spans="2:15" ht="13.5" customHeight="1" x14ac:dyDescent="0.2">
      <c r="B40" s="4" t="s">
        <v>70</v>
      </c>
      <c r="E40" s="8">
        <f>(Input!A25 + Input!A26) / Input!A5</f>
        <v>2.2377848484848482</v>
      </c>
      <c r="F40" s="8">
        <f>(Input!B25 + Input!B26) / Input!B5</f>
        <v>2.3782800275482092</v>
      </c>
      <c r="G40" s="8">
        <f>(Input!C25 + Input!C26) / Input!C5</f>
        <v>2.2060179063360881</v>
      </c>
      <c r="H40" s="8">
        <f>(Input!D25 + Input!D26) / Input!D5</f>
        <v>2.2197998622589532</v>
      </c>
      <c r="I40" s="8">
        <f>(Input!E25 + Input!E26) / Input!E5</f>
        <v>2.0652724226804127</v>
      </c>
      <c r="J40" s="8">
        <f>(Input!F25 + Input!F26) / Input!F5</f>
        <v>2.1094733830845773</v>
      </c>
      <c r="K40" s="8">
        <f>(Input!G25 + Input!G26) / Input!G5</f>
        <v>2.1126842751842752</v>
      </c>
      <c r="L40" s="8">
        <f>(Input!H25 + Input!H26) / Input!H5</f>
        <v>2.1289933252427184</v>
      </c>
      <c r="M40" s="8">
        <f>(Input!I25 + Input!I26) / Input!I5</f>
        <v>2.2466445585215604</v>
      </c>
      <c r="N40" s="8">
        <f>(Input!J25 + Input!J26) / Input!J5</f>
        <v>2.6948152838427948</v>
      </c>
      <c r="O40" s="8">
        <f t="shared" si="1"/>
        <v>2.2399765893184438</v>
      </c>
    </row>
    <row r="41" spans="2:15" ht="6" customHeight="1" x14ac:dyDescent="0.2">
      <c r="O41" s="6"/>
    </row>
    <row r="42" spans="2:15" x14ac:dyDescent="0.2">
      <c r="B42" s="9" t="s">
        <v>74</v>
      </c>
      <c r="C42" s="10"/>
      <c r="D42" s="10"/>
      <c r="E42" s="11">
        <f>+E38-E40</f>
        <v>-3.5006188991918759</v>
      </c>
      <c r="F42" s="11">
        <f t="shared" ref="F42:N42" si="9">+F38-F40</f>
        <v>5.2697990600892179</v>
      </c>
      <c r="G42" s="11">
        <f t="shared" si="9"/>
        <v>11.902084198980573</v>
      </c>
      <c r="H42" s="11">
        <f t="shared" si="9"/>
        <v>4.0354716741715171</v>
      </c>
      <c r="I42" s="11">
        <f t="shared" si="9"/>
        <v>-1.0725641723605763</v>
      </c>
      <c r="J42" s="11">
        <f t="shared" si="9"/>
        <v>1.9051133193266589</v>
      </c>
      <c r="K42" s="11">
        <f t="shared" si="9"/>
        <v>6.8564885964535769</v>
      </c>
      <c r="L42" s="11">
        <f t="shared" si="9"/>
        <v>5.2943592087396771</v>
      </c>
      <c r="M42" s="11">
        <f t="shared" si="9"/>
        <v>8.3028871987659159</v>
      </c>
      <c r="N42" s="11">
        <f t="shared" si="9"/>
        <v>5.9975352343201731</v>
      </c>
      <c r="O42" s="11">
        <f t="shared" si="1"/>
        <v>4.4990555419294855</v>
      </c>
    </row>
  </sheetData>
  <mergeCells count="3">
    <mergeCell ref="D1:M1"/>
    <mergeCell ref="D2:M2"/>
    <mergeCell ref="D3:M3"/>
  </mergeCells>
  <phoneticPr fontId="0" type="noConversion"/>
  <pageMargins left="0.78740157480314965" right="0.78740157480314965" top="0.78740157480314965" bottom="0.78740157480314965" header="0.43307086614173229" footer="0.43307086614173229"/>
  <pageSetup paperSize="9" orientation="landscape" horizontalDpi="0" r:id="rId1"/>
  <headerFooter alignWithMargins="0">
    <oddFooter>&amp;L&amp;8BOKU / HVLFÖ&amp;C&amp;8DVR-Nr: 0890723&amp;R&amp;8&amp;D</oddFooter>
  </headerFooter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dimension ref="A1:O42"/>
  <sheetViews>
    <sheetView workbookViewId="0">
      <selection activeCell="D2" sqref="D2:M2"/>
    </sheetView>
  </sheetViews>
  <sheetFormatPr baseColWidth="10" defaultRowHeight="12.75" x14ac:dyDescent="0.2"/>
  <cols>
    <col min="1" max="1" width="0.85546875" customWidth="1"/>
    <col min="2" max="2" width="10.28515625" customWidth="1"/>
    <col min="3" max="3" width="8.85546875" customWidth="1"/>
    <col min="4" max="4" width="9.7109375" customWidth="1"/>
    <col min="5" max="9" width="8.7109375" customWidth="1"/>
    <col min="10" max="10" width="8.85546875" customWidth="1"/>
    <col min="11" max="14" width="8.7109375" customWidth="1"/>
    <col min="15" max="15" width="10.7109375" customWidth="1"/>
  </cols>
  <sheetData>
    <row r="1" spans="1:15" ht="15.75" customHeight="1" x14ac:dyDescent="0.25">
      <c r="A1" t="s">
        <v>48</v>
      </c>
      <c r="C1" s="12">
        <f>Input!A3</f>
        <v>2024</v>
      </c>
      <c r="D1" s="36" t="s">
        <v>14</v>
      </c>
      <c r="E1" s="36"/>
      <c r="F1" s="36"/>
      <c r="G1" s="36"/>
      <c r="H1" s="36"/>
      <c r="I1" s="36"/>
      <c r="J1" s="36"/>
      <c r="K1" s="36"/>
      <c r="L1" s="36"/>
      <c r="M1" s="36"/>
      <c r="O1" s="3" t="s">
        <v>253</v>
      </c>
    </row>
    <row r="2" spans="1:15" ht="15.75" customHeight="1" x14ac:dyDescent="0.2">
      <c r="D2" s="37" t="str">
        <f>Kenndat!D2</f>
        <v>Produktionsgebiet 1: Alpenvorland</v>
      </c>
      <c r="E2" s="37"/>
      <c r="F2" s="37"/>
      <c r="G2" s="37"/>
      <c r="H2" s="37"/>
      <c r="I2" s="37"/>
      <c r="J2" s="37"/>
      <c r="K2" s="37"/>
      <c r="L2" s="37"/>
      <c r="M2" s="37"/>
    </row>
    <row r="3" spans="1:15" ht="15.75" customHeight="1" x14ac:dyDescent="0.2">
      <c r="D3" s="38" t="s">
        <v>171</v>
      </c>
      <c r="E3" s="38"/>
      <c r="F3" s="38"/>
      <c r="G3" s="38"/>
      <c r="H3" s="38"/>
      <c r="I3" s="38"/>
      <c r="J3" s="38"/>
      <c r="K3" s="38"/>
      <c r="L3" s="38"/>
      <c r="M3" s="38"/>
    </row>
    <row r="4" spans="1:15" ht="3.75" customHeight="1" x14ac:dyDescent="0.2"/>
    <row r="5" spans="1:15" x14ac:dyDescent="0.2">
      <c r="B5" t="s">
        <v>72</v>
      </c>
      <c r="E5" s="3">
        <f>Input!A3</f>
        <v>2024</v>
      </c>
      <c r="F5" s="3">
        <f>+E5-1</f>
        <v>2023</v>
      </c>
      <c r="G5" s="3">
        <f t="shared" ref="G5:N5" si="0">+F5-1</f>
        <v>2022</v>
      </c>
      <c r="H5" s="3">
        <f t="shared" si="0"/>
        <v>2021</v>
      </c>
      <c r="I5" s="3">
        <f t="shared" si="0"/>
        <v>2020</v>
      </c>
      <c r="J5" s="3">
        <f t="shared" si="0"/>
        <v>2019</v>
      </c>
      <c r="K5" s="3">
        <f t="shared" si="0"/>
        <v>2018</v>
      </c>
      <c r="L5" s="3">
        <f t="shared" si="0"/>
        <v>2017</v>
      </c>
      <c r="M5" s="3">
        <f t="shared" si="0"/>
        <v>2016</v>
      </c>
      <c r="N5" s="3">
        <f t="shared" si="0"/>
        <v>2015</v>
      </c>
      <c r="O5" s="3" t="s">
        <v>16</v>
      </c>
    </row>
    <row r="6" spans="1:15" ht="7.5" customHeight="1" x14ac:dyDescent="0.2"/>
    <row r="7" spans="1:15" ht="12" customHeight="1" x14ac:dyDescent="0.2">
      <c r="B7" t="s">
        <v>49</v>
      </c>
      <c r="E7" s="6">
        <f>Input!A8/Input!A$7</f>
        <v>0</v>
      </c>
      <c r="F7" s="6">
        <f>Input!B8/Input!B$7</f>
        <v>0</v>
      </c>
      <c r="G7" s="6">
        <f>Input!C8/Input!C$7</f>
        <v>0</v>
      </c>
      <c r="H7" s="6">
        <f>Input!D8/Input!D$7</f>
        <v>0</v>
      </c>
      <c r="I7" s="6">
        <f>Input!E8/Input!E$7</f>
        <v>0.78429752066115699</v>
      </c>
      <c r="J7" s="6">
        <f>Input!F8/Input!F$7</f>
        <v>0.71697670101178868</v>
      </c>
      <c r="K7" s="6">
        <f>Input!G8/Input!G$7</f>
        <v>0</v>
      </c>
      <c r="L7" s="6">
        <f>Input!H8/Input!H$7</f>
        <v>1.2435379264968512E-2</v>
      </c>
      <c r="M7" s="6">
        <f>Input!I8/Input!I$7</f>
        <v>0.5112024786467928</v>
      </c>
      <c r="N7" s="6">
        <f>Input!J8/Input!J$7</f>
        <v>0</v>
      </c>
      <c r="O7" s="6">
        <f>AVERAGE(E7:N7)</f>
        <v>0.20249120795847073</v>
      </c>
    </row>
    <row r="8" spans="1:15" ht="12" customHeight="1" x14ac:dyDescent="0.2">
      <c r="B8" t="s">
        <v>50</v>
      </c>
      <c r="E8" s="6">
        <f>Input!A9/Input!A$7</f>
        <v>27.93346612760083</v>
      </c>
      <c r="F8" s="6">
        <f>Input!B9/Input!B$7</f>
        <v>31.973911486548527</v>
      </c>
      <c r="G8" s="6">
        <f>Input!C9/Input!C$7</f>
        <v>32.126011385547699</v>
      </c>
      <c r="H8" s="6">
        <f>Input!D9/Input!D$7</f>
        <v>28.411922865013775</v>
      </c>
      <c r="I8" s="6">
        <f>Input!E9/Input!E$7</f>
        <v>29.565639118457302</v>
      </c>
      <c r="J8" s="6">
        <f>Input!F9/Input!F$7</f>
        <v>25.565054302422723</v>
      </c>
      <c r="K8" s="6">
        <f>Input!G9/Input!G$7</f>
        <v>21.572358674463938</v>
      </c>
      <c r="L8" s="6">
        <f>Input!H9/Input!H$7</f>
        <v>25.789499953003101</v>
      </c>
      <c r="M8" s="6">
        <f>Input!I9/Input!I$7</f>
        <v>30.060705074526879</v>
      </c>
      <c r="N8" s="6">
        <f>Input!J9/Input!J$7</f>
        <v>25.579417279848091</v>
      </c>
      <c r="O8" s="6">
        <f t="shared" ref="O8:O42" si="1">AVERAGE(E8:N8)</f>
        <v>27.857798626743282</v>
      </c>
    </row>
    <row r="9" spans="1:15" ht="12" customHeight="1" x14ac:dyDescent="0.2">
      <c r="B9" t="s">
        <v>51</v>
      </c>
      <c r="E9" s="6">
        <f>Input!A10/Input!A$7</f>
        <v>38.162857706340596</v>
      </c>
      <c r="F9" s="6">
        <f>Input!B10/Input!B$7</f>
        <v>30.27933798549261</v>
      </c>
      <c r="G9" s="6">
        <f>Input!C10/Input!C$7</f>
        <v>29.277326232669175</v>
      </c>
      <c r="H9" s="6">
        <f>Input!D10/Input!D$7</f>
        <v>34.962510560146924</v>
      </c>
      <c r="I9" s="6">
        <f>Input!E10/Input!E$7</f>
        <v>35.82783287419651</v>
      </c>
      <c r="J9" s="6">
        <f>Input!F10/Input!F$7</f>
        <v>36.212198087812126</v>
      </c>
      <c r="K9" s="6">
        <f>Input!G10/Input!G$7</f>
        <v>38.103509700176367</v>
      </c>
      <c r="L9" s="6">
        <f>Input!H10/Input!H$7</f>
        <v>24.350708713224929</v>
      </c>
      <c r="M9" s="6">
        <f>Input!I10/Input!I$7</f>
        <v>26.004679283202144</v>
      </c>
      <c r="N9" s="6">
        <f>Input!J10/Input!J$7</f>
        <v>17.285302634702113</v>
      </c>
      <c r="O9" s="6">
        <f t="shared" si="1"/>
        <v>31.046626377796354</v>
      </c>
    </row>
    <row r="10" spans="1:15" ht="12" customHeight="1" x14ac:dyDescent="0.2">
      <c r="B10" t="s">
        <v>52</v>
      </c>
      <c r="E10" s="6">
        <f>Input!A11/Input!A$7</f>
        <v>14.744035105019229</v>
      </c>
      <c r="F10" s="6">
        <f>Input!B11/Input!B$7</f>
        <v>3.2349756679827384</v>
      </c>
      <c r="G10" s="6">
        <f>Input!C11/Input!C$7</f>
        <v>1.8099182811495731</v>
      </c>
      <c r="H10" s="6">
        <f>Input!D11/Input!D$7</f>
        <v>5.7147153351698803</v>
      </c>
      <c r="I10" s="6">
        <f>Input!E11/Input!E$7</f>
        <v>4.7572534435261709</v>
      </c>
      <c r="J10" s="6">
        <f>Input!F11/Input!F$7</f>
        <v>5.3741557597697946</v>
      </c>
      <c r="K10" s="6">
        <f>Input!G11/Input!G$7</f>
        <v>8.896446672236145</v>
      </c>
      <c r="L10" s="6">
        <f>Input!H11/Input!H$7</f>
        <v>7.2080054516401919</v>
      </c>
      <c r="M10" s="6">
        <f>Input!I11/Input!I$7</f>
        <v>15.781910902696366</v>
      </c>
      <c r="N10" s="6">
        <f>Input!J11/Input!J$7</f>
        <v>10.335865179207216</v>
      </c>
      <c r="O10" s="6">
        <f t="shared" si="1"/>
        <v>7.7857281798397313</v>
      </c>
    </row>
    <row r="11" spans="1:15" ht="12" customHeight="1" x14ac:dyDescent="0.2">
      <c r="B11" t="s">
        <v>53</v>
      </c>
      <c r="E11" s="6">
        <f>Input!A12/Input!A$7</f>
        <v>16.938538605660192</v>
      </c>
      <c r="F11" s="6">
        <f>Input!B12/Input!B$7</f>
        <v>14.521254246625656</v>
      </c>
      <c r="G11" s="6">
        <f>Input!C12/Input!C$7</f>
        <v>12.76272334955468</v>
      </c>
      <c r="H11" s="6">
        <f>Input!D12/Input!D$7</f>
        <v>15.947686868686869</v>
      </c>
      <c r="I11" s="6">
        <f>Input!E12/Input!E$7</f>
        <v>15.717791551882462</v>
      </c>
      <c r="J11" s="6">
        <f>Input!F12/Input!F$7</f>
        <v>14.385502645502644</v>
      </c>
      <c r="K11" s="6">
        <f>Input!G12/Input!G$7</f>
        <v>17.558805346700083</v>
      </c>
      <c r="L11" s="6">
        <f>Input!H12/Input!H$7</f>
        <v>16.796194191183382</v>
      </c>
      <c r="M11" s="6">
        <f>Input!I12/Input!I$7</f>
        <v>39.318283369619827</v>
      </c>
      <c r="N11" s="6">
        <f>Input!J12/Input!J$7</f>
        <v>30.012396154759081</v>
      </c>
      <c r="O11" s="6">
        <f t="shared" si="1"/>
        <v>19.395917633017483</v>
      </c>
    </row>
    <row r="12" spans="1:15" ht="12" customHeight="1" x14ac:dyDescent="0.2">
      <c r="B12" t="s">
        <v>54</v>
      </c>
      <c r="E12" s="6">
        <f>Input!A13/Input!A$7</f>
        <v>5.0831545212503695</v>
      </c>
      <c r="F12" s="6">
        <f>Input!B13/Input!B$7</f>
        <v>4.7931585712974014</v>
      </c>
      <c r="G12" s="6">
        <f>Input!C13/Input!C$7</f>
        <v>3.4217289505095954</v>
      </c>
      <c r="H12" s="6">
        <f>Input!D13/Input!D$7</f>
        <v>3.5716060606060607</v>
      </c>
      <c r="I12" s="6">
        <f>Input!E13/Input!E$7</f>
        <v>3.4160284664830121</v>
      </c>
      <c r="J12" s="6">
        <f>Input!F13/Input!F$7</f>
        <v>3.3081518611343173</v>
      </c>
      <c r="K12" s="6">
        <f>Input!G13/Input!G$7</f>
        <v>1.9782641789659334</v>
      </c>
      <c r="L12" s="6">
        <f>Input!H13/Input!H$7</f>
        <v>1.5934223141272674</v>
      </c>
      <c r="M12" s="6">
        <f>Input!I13/Input!I$7</f>
        <v>4.2911254396248539</v>
      </c>
      <c r="N12" s="6">
        <f>Input!J13/Input!J$7</f>
        <v>3.3339746024210775</v>
      </c>
      <c r="O12" s="6">
        <f t="shared" si="1"/>
        <v>3.4790614966419886</v>
      </c>
    </row>
    <row r="13" spans="1:15" ht="13.5" customHeight="1" x14ac:dyDescent="0.2">
      <c r="B13" s="4" t="s">
        <v>55</v>
      </c>
      <c r="E13" s="8">
        <f>SUM(E7:E12)</f>
        <v>102.86205206587123</v>
      </c>
      <c r="F13" s="8">
        <f t="shared" ref="F13:N13" si="2">SUM(F7:F12)</f>
        <v>84.802637957946928</v>
      </c>
      <c r="G13" s="8">
        <f t="shared" si="2"/>
        <v>79.39770819943071</v>
      </c>
      <c r="H13" s="8">
        <f t="shared" si="2"/>
        <v>88.608441689623518</v>
      </c>
      <c r="I13" s="8">
        <f t="shared" si="2"/>
        <v>90.068842975206607</v>
      </c>
      <c r="J13" s="8">
        <f t="shared" si="2"/>
        <v>85.56203935765339</v>
      </c>
      <c r="K13" s="8">
        <f t="shared" si="2"/>
        <v>88.109384572542453</v>
      </c>
      <c r="L13" s="8">
        <f t="shared" si="2"/>
        <v>75.750266002443837</v>
      </c>
      <c r="M13" s="8">
        <f t="shared" si="2"/>
        <v>115.96790654831686</v>
      </c>
      <c r="N13" s="8">
        <f t="shared" si="2"/>
        <v>86.546955850937593</v>
      </c>
      <c r="O13" s="8">
        <f t="shared" si="1"/>
        <v>89.767623521997308</v>
      </c>
    </row>
    <row r="14" spans="1:15" ht="3" customHeight="1" x14ac:dyDescent="0.2">
      <c r="E14" s="17"/>
      <c r="F14" s="17"/>
      <c r="G14" s="17"/>
      <c r="H14" s="17"/>
      <c r="I14" s="17"/>
      <c r="J14" s="17"/>
      <c r="K14" s="17"/>
      <c r="L14" s="17"/>
      <c r="M14" s="17"/>
      <c r="N14" s="17"/>
      <c r="O14" s="6"/>
    </row>
    <row r="15" spans="1:15" ht="12" customHeight="1" x14ac:dyDescent="0.2">
      <c r="B15" t="s">
        <v>56</v>
      </c>
      <c r="E15" s="6">
        <f>Input!A14/Input!A$7</f>
        <v>181.48083818163889</v>
      </c>
      <c r="F15" s="6">
        <f>Input!B14/Input!B$7</f>
        <v>165.01705812138462</v>
      </c>
      <c r="G15" s="6">
        <f>Input!C14/Input!C$7</f>
        <v>153.75620879625379</v>
      </c>
      <c r="H15" s="6">
        <f>Input!D14/Input!D$7</f>
        <v>159.8602718089991</v>
      </c>
      <c r="I15" s="6">
        <f>Input!E14/Input!E$7</f>
        <v>149.53615977961434</v>
      </c>
      <c r="J15" s="6">
        <f>Input!F14/Input!F$7</f>
        <v>159.1254618026548</v>
      </c>
      <c r="K15" s="6">
        <f>Input!G14/Input!G$7</f>
        <v>147.18818806274948</v>
      </c>
      <c r="L15" s="6">
        <f>Input!H14/Input!H$7</f>
        <v>152.67278221637372</v>
      </c>
      <c r="M15" s="6">
        <f>Input!I14/Input!I$7</f>
        <v>172.63873053089935</v>
      </c>
      <c r="N15" s="6">
        <f>Input!J14/Input!J$7</f>
        <v>225.22771659150249</v>
      </c>
      <c r="O15" s="6">
        <f t="shared" si="1"/>
        <v>166.65034158920702</v>
      </c>
    </row>
    <row r="16" spans="1:15" ht="12" customHeight="1" x14ac:dyDescent="0.2">
      <c r="B16" t="s">
        <v>57</v>
      </c>
      <c r="E16" s="6">
        <f>Input!A15/Input!A$7</f>
        <v>42.088640173552903</v>
      </c>
      <c r="F16" s="6">
        <f>Input!B15/Input!B$7</f>
        <v>36.362553484528512</v>
      </c>
      <c r="G16" s="6">
        <f>Input!C15/Input!C$7</f>
        <v>32.593109907262878</v>
      </c>
      <c r="H16" s="6">
        <f>Input!D15/Input!D$7</f>
        <v>31.593809917355376</v>
      </c>
      <c r="I16" s="6">
        <f>Input!E15/Input!E$7</f>
        <v>30.245293847566575</v>
      </c>
      <c r="J16" s="6">
        <f>Input!F15/Input!F$7</f>
        <v>28.411353383458646</v>
      </c>
      <c r="K16" s="6">
        <f>Input!G15/Input!G$7</f>
        <v>29.733226584980969</v>
      </c>
      <c r="L16" s="6">
        <f>Input!H15/Input!H$7</f>
        <v>30.140125951687189</v>
      </c>
      <c r="M16" s="6">
        <f>Input!I15/Input!I$7</f>
        <v>13.406303801708255</v>
      </c>
      <c r="N16" s="6">
        <f>Input!J15/Input!J$7</f>
        <v>25.58968787087586</v>
      </c>
      <c r="O16" s="6">
        <f t="shared" si="1"/>
        <v>30.016410492297716</v>
      </c>
    </row>
    <row r="17" spans="2:15" ht="12" customHeight="1" x14ac:dyDescent="0.2">
      <c r="B17" t="s">
        <v>58</v>
      </c>
      <c r="E17" s="6">
        <f>Input!A16/Input!A$7</f>
        <v>31.949754462084609</v>
      </c>
      <c r="F17" s="6">
        <f>Input!B16/Input!B$7</f>
        <v>23.41099164447709</v>
      </c>
      <c r="G17" s="6">
        <f>Input!C16/Input!C$7</f>
        <v>19.046451198237076</v>
      </c>
      <c r="H17" s="6">
        <f>Input!D16/Input!D$7</f>
        <v>18.136393939393937</v>
      </c>
      <c r="I17" s="6">
        <f>Input!E16/Input!E$7</f>
        <v>22.753570247933883</v>
      </c>
      <c r="J17" s="6">
        <f>Input!F16/Input!F$7</f>
        <v>26.050685974194746</v>
      </c>
      <c r="K17" s="6">
        <f>Input!G16/Input!G$7</f>
        <v>29.995146198830412</v>
      </c>
      <c r="L17" s="6">
        <f>Input!H16/Input!H$7</f>
        <v>27.816664160165427</v>
      </c>
      <c r="M17" s="6">
        <f>Input!I16/Input!I$7</f>
        <v>0.1138553006196617</v>
      </c>
      <c r="N17" s="6">
        <f>Input!J16/Input!J$7</f>
        <v>3.7142309518158081</v>
      </c>
      <c r="O17" s="6">
        <f t="shared" si="1"/>
        <v>20.298774407775262</v>
      </c>
    </row>
    <row r="18" spans="2:15" ht="12" customHeight="1" x14ac:dyDescent="0.2">
      <c r="B18" t="s">
        <v>59</v>
      </c>
      <c r="E18" s="6">
        <f>Input!A17/Input!A$7</f>
        <v>4.6656187752687108</v>
      </c>
      <c r="F18" s="6">
        <f>Input!B17/Input!B$7</f>
        <v>3.6778147093930769</v>
      </c>
      <c r="G18" s="6">
        <f>Input!C17/Input!C$7</f>
        <v>3.1208392250482047</v>
      </c>
      <c r="H18" s="6">
        <f>Input!D17/Input!D$7</f>
        <v>2.5813911845730027</v>
      </c>
      <c r="I18" s="6">
        <f>Input!E17/Input!E$7</f>
        <v>2.4918016528925619</v>
      </c>
      <c r="J18" s="6">
        <f>Input!F17/Input!F$7</f>
        <v>2.8798644760048266</v>
      </c>
      <c r="K18" s="6">
        <f>Input!G17/Input!G$7</f>
        <v>2.4643451220644201</v>
      </c>
      <c r="L18" s="6">
        <f>Input!H17/Input!H$7</f>
        <v>2.5061988908732022</v>
      </c>
      <c r="M18" s="6">
        <f>Input!I17/Input!I$7</f>
        <v>2.5453039691843911</v>
      </c>
      <c r="N18" s="6">
        <f>Input!J17/Input!J$7</f>
        <v>2.8959138381201046</v>
      </c>
      <c r="O18" s="6">
        <f t="shared" si="1"/>
        <v>2.9829091843422502</v>
      </c>
    </row>
    <row r="19" spans="2:15" ht="13.5" customHeight="1" x14ac:dyDescent="0.2">
      <c r="B19" s="4" t="s">
        <v>60</v>
      </c>
      <c r="E19" s="8">
        <f>SUM(E15:E18)</f>
        <v>260.1848515925451</v>
      </c>
      <c r="F19" s="8">
        <f t="shared" ref="F19:N19" si="3">SUM(F15:F18)</f>
        <v>228.46841795978332</v>
      </c>
      <c r="G19" s="8">
        <f t="shared" si="3"/>
        <v>208.51660912680194</v>
      </c>
      <c r="H19" s="8">
        <f t="shared" si="3"/>
        <v>212.17186685032141</v>
      </c>
      <c r="I19" s="8">
        <f t="shared" si="3"/>
        <v>205.02682552800735</v>
      </c>
      <c r="J19" s="8">
        <f t="shared" si="3"/>
        <v>216.46736563631302</v>
      </c>
      <c r="K19" s="8">
        <f t="shared" si="3"/>
        <v>209.38090596862529</v>
      </c>
      <c r="L19" s="8">
        <f t="shared" si="3"/>
        <v>213.13577121909955</v>
      </c>
      <c r="M19" s="8">
        <f t="shared" si="3"/>
        <v>188.70419360241166</v>
      </c>
      <c r="N19" s="8">
        <f t="shared" si="3"/>
        <v>257.42754925231424</v>
      </c>
      <c r="O19" s="8">
        <f t="shared" si="1"/>
        <v>219.94843567362227</v>
      </c>
    </row>
    <row r="20" spans="2:15" ht="3" customHeight="1" x14ac:dyDescent="0.2">
      <c r="E20" s="17"/>
      <c r="F20" s="17"/>
      <c r="G20" s="17"/>
      <c r="H20" s="17"/>
      <c r="I20" s="17"/>
      <c r="J20" s="17"/>
      <c r="K20" s="17"/>
      <c r="L20" s="17"/>
      <c r="M20" s="17"/>
      <c r="N20" s="17"/>
      <c r="O20" s="6"/>
    </row>
    <row r="21" spans="2:15" ht="12" customHeight="1" x14ac:dyDescent="0.2">
      <c r="B21" t="s">
        <v>61</v>
      </c>
      <c r="E21" s="6">
        <f>Input!A18/Input!A$7</f>
        <v>27.796226210432899</v>
      </c>
      <c r="F21" s="6">
        <f>Input!B18/Input!B$7</f>
        <v>28.259515196033423</v>
      </c>
      <c r="G21" s="6">
        <f>Input!C18/Input!C$7</f>
        <v>18.964428427141677</v>
      </c>
      <c r="H21" s="6">
        <f>Input!D18/Input!D$7</f>
        <v>21.29667217630854</v>
      </c>
      <c r="I21" s="6">
        <f>Input!E18/Input!E$7</f>
        <v>19.267330578512396</v>
      </c>
      <c r="J21" s="6">
        <f>Input!F18/Input!F$7</f>
        <v>13.433808595562983</v>
      </c>
      <c r="K21" s="6">
        <f>Input!G18/Input!G$7</f>
        <v>22.507688666109718</v>
      </c>
      <c r="L21" s="6">
        <f>Input!H18/Input!H$7</f>
        <v>25.733071717266661</v>
      </c>
      <c r="M21" s="6">
        <f>Input!I18/Input!I$7</f>
        <v>20.68071009881092</v>
      </c>
      <c r="N21" s="6">
        <f>Input!J18/Input!J$7</f>
        <v>29.328560408260149</v>
      </c>
      <c r="O21" s="6">
        <f t="shared" si="1"/>
        <v>22.726801207443938</v>
      </c>
    </row>
    <row r="22" spans="2:15" ht="12" customHeight="1" x14ac:dyDescent="0.2">
      <c r="B22" t="s">
        <v>255</v>
      </c>
      <c r="E22" s="6">
        <f>Input!A19/Input!A$7</f>
        <v>20.08119120402327</v>
      </c>
      <c r="F22" s="6">
        <f>Input!B19/Input!B$7</f>
        <v>28.279485813974841</v>
      </c>
      <c r="G22" s="6">
        <f>Input!C19/Input!C$7</f>
        <v>24.827200440730877</v>
      </c>
      <c r="H22" s="6">
        <f>Input!D19/Input!D$7</f>
        <v>18.25130119375574</v>
      </c>
      <c r="I22" s="6">
        <f>Input!E19/Input!E$7</f>
        <v>21.98214416896235</v>
      </c>
      <c r="J22" s="6">
        <f>Input!F19/Input!F$7</f>
        <v>21.881549243479068</v>
      </c>
      <c r="K22" s="6">
        <f>Input!G19/Input!G$7</f>
        <v>17.51360066833751</v>
      </c>
      <c r="L22" s="6">
        <f>Input!H19/Input!H$7</f>
        <v>22.243050098693487</v>
      </c>
      <c r="M22" s="6">
        <f>Input!I19/Input!I$7</f>
        <v>20.500840730195947</v>
      </c>
      <c r="N22" s="6">
        <f>Input!J19/Input!J$7</f>
        <v>71.975855684785202</v>
      </c>
      <c r="O22" s="6">
        <f t="shared" si="1"/>
        <v>26.753621924693828</v>
      </c>
    </row>
    <row r="23" spans="2:15" ht="12" customHeight="1" x14ac:dyDescent="0.2">
      <c r="B23" t="s">
        <v>62</v>
      </c>
      <c r="E23" s="6">
        <f>Input!A20/Input!A$7</f>
        <v>0</v>
      </c>
      <c r="F23" s="6">
        <f>Input!B20/Input!B$7</f>
        <v>0</v>
      </c>
      <c r="G23" s="6">
        <f>Input!C20/Input!C$7</f>
        <v>0.42426774400881462</v>
      </c>
      <c r="H23" s="6">
        <f>Input!D20/Input!D$7</f>
        <v>0</v>
      </c>
      <c r="I23" s="6">
        <f>Input!E20/Input!E$7</f>
        <v>0</v>
      </c>
      <c r="J23" s="6">
        <f>Input!F20/Input!F$7</f>
        <v>0</v>
      </c>
      <c r="K23" s="6">
        <f>Input!G20/Input!G$7</f>
        <v>7.184906711222501E-2</v>
      </c>
      <c r="L23" s="6">
        <f>Input!H20/Input!H$7</f>
        <v>0.17046808910611899</v>
      </c>
      <c r="M23" s="6">
        <f>Input!I20/Input!I$7</f>
        <v>0.26606263607435943</v>
      </c>
      <c r="N23" s="6">
        <f>Input!J20/Input!J$7</f>
        <v>0</v>
      </c>
      <c r="O23" s="6">
        <f t="shared" si="1"/>
        <v>9.3264753630151812E-2</v>
      </c>
    </row>
    <row r="24" spans="2:15" ht="14.25" customHeight="1" x14ac:dyDescent="0.2">
      <c r="B24" s="4" t="s">
        <v>63</v>
      </c>
      <c r="E24" s="8">
        <f>SUM(E21:E23)</f>
        <v>47.877417414456168</v>
      </c>
      <c r="F24" s="8">
        <f t="shared" ref="F24:N24" si="4">SUM(F21:F23)</f>
        <v>56.539001010008263</v>
      </c>
      <c r="G24" s="8">
        <f t="shared" si="4"/>
        <v>44.215896611881369</v>
      </c>
      <c r="H24" s="8">
        <f t="shared" si="4"/>
        <v>39.547973370064284</v>
      </c>
      <c r="I24" s="8">
        <f t="shared" si="4"/>
        <v>41.24947474747475</v>
      </c>
      <c r="J24" s="8">
        <f t="shared" si="4"/>
        <v>35.315357839042051</v>
      </c>
      <c r="K24" s="8">
        <f t="shared" si="4"/>
        <v>40.093138401559457</v>
      </c>
      <c r="L24" s="8">
        <f t="shared" si="4"/>
        <v>48.146589905066264</v>
      </c>
      <c r="M24" s="8">
        <f t="shared" si="4"/>
        <v>41.447613465081226</v>
      </c>
      <c r="N24" s="8">
        <f t="shared" si="4"/>
        <v>101.30441609304535</v>
      </c>
      <c r="O24" s="8">
        <f t="shared" si="1"/>
        <v>49.573687885767924</v>
      </c>
    </row>
    <row r="25" spans="2:15" ht="3" customHeight="1" x14ac:dyDescent="0.2">
      <c r="E25" s="17"/>
      <c r="F25" s="17"/>
      <c r="G25" s="17"/>
      <c r="H25" s="17"/>
      <c r="I25" s="17"/>
      <c r="J25" s="17"/>
      <c r="K25" s="17"/>
      <c r="L25" s="17"/>
      <c r="M25" s="17"/>
      <c r="N25" s="17"/>
      <c r="O25" s="6"/>
    </row>
    <row r="26" spans="2:15" ht="12" customHeight="1" x14ac:dyDescent="0.2">
      <c r="B26" t="s">
        <v>64</v>
      </c>
      <c r="E26" s="6">
        <f>Input!A21/Input!A$7</f>
        <v>5.5443033231436738</v>
      </c>
      <c r="F26" s="6">
        <f>Input!B21/Input!B$7</f>
        <v>6.4247828482233036</v>
      </c>
      <c r="G26" s="6">
        <f>Input!C21/Input!C$7</f>
        <v>6.106515471490221</v>
      </c>
      <c r="H26" s="6">
        <f>Input!D21/Input!D$7</f>
        <v>6.0245739210284661</v>
      </c>
      <c r="I26" s="6">
        <f>Input!E21/Input!E$7</f>
        <v>5.3029577594123047</v>
      </c>
      <c r="J26" s="6">
        <f>Input!F21/Input!F$7</f>
        <v>6.007263529193354</v>
      </c>
      <c r="K26" s="6">
        <f>Input!G21/Input!G$7</f>
        <v>9.2048426622110835</v>
      </c>
      <c r="L26" s="6">
        <f>Input!H21/Input!H$7</f>
        <v>8.3640934298336305</v>
      </c>
      <c r="M26" s="6">
        <f>Input!I21/Input!I$7</f>
        <v>5.835873388042204</v>
      </c>
      <c r="N26" s="6">
        <f>Input!J21/Input!J$7</f>
        <v>8.7538488013292177</v>
      </c>
      <c r="O26" s="6">
        <f t="shared" si="1"/>
        <v>6.7569055133907456</v>
      </c>
    </row>
    <row r="27" spans="2:15" ht="12" customHeight="1" x14ac:dyDescent="0.2">
      <c r="B27" t="s">
        <v>65</v>
      </c>
      <c r="E27" s="6">
        <f>Input!A22/Input!A$7</f>
        <v>85.73291391381521</v>
      </c>
      <c r="F27" s="6">
        <f>Input!B22/Input!B$7</f>
        <v>107.16537691672023</v>
      </c>
      <c r="G27" s="6">
        <f>Input!C22/Input!C$7</f>
        <v>99.538231567349172</v>
      </c>
      <c r="H27" s="6">
        <f>Input!D22/Input!D$7</f>
        <v>99.982668503213958</v>
      </c>
      <c r="I27" s="6">
        <f>Input!E22/Input!E$7</f>
        <v>95.765392102846647</v>
      </c>
      <c r="J27" s="6">
        <f>Input!F22/Input!F$7</f>
        <v>95.5269572078344</v>
      </c>
      <c r="K27" s="6">
        <f>Input!G22/Input!G$7</f>
        <v>93.251146384479711</v>
      </c>
      <c r="L27" s="6">
        <f>Input!H22/Input!H$7</f>
        <v>94.433826487451825</v>
      </c>
      <c r="M27" s="6">
        <f>Input!I22/Input!I$7</f>
        <v>94.432502093451674</v>
      </c>
      <c r="N27" s="6">
        <f>Input!J22/Input!J$7</f>
        <v>101.36069546641347</v>
      </c>
      <c r="O27" s="6">
        <f t="shared" si="1"/>
        <v>96.718971064357646</v>
      </c>
    </row>
    <row r="28" spans="2:15" ht="12" customHeight="1" x14ac:dyDescent="0.2">
      <c r="B28" t="s">
        <v>66</v>
      </c>
      <c r="E28" s="6">
        <f>Input!A23/Input!A$7</f>
        <v>11.114601124149493</v>
      </c>
      <c r="F28" s="6">
        <f>Input!B23/Input!B$7</f>
        <v>12.418127811954824</v>
      </c>
      <c r="G28" s="6">
        <f>Input!C23/Input!C$7</f>
        <v>13.257237168304105</v>
      </c>
      <c r="H28" s="6">
        <f>Input!D23/Input!D$7</f>
        <v>13.106499540863178</v>
      </c>
      <c r="I28" s="6">
        <f>Input!E23/Input!E$7</f>
        <v>13.128371900826446</v>
      </c>
      <c r="J28" s="6">
        <f>Input!F23/Input!F$7</f>
        <v>13.325440452984314</v>
      </c>
      <c r="K28" s="6">
        <f>Input!G23/Input!G$7</f>
        <v>13.598127726724218</v>
      </c>
      <c r="L28" s="6">
        <f>Input!H23/Input!H$7</f>
        <v>12.429104239120218</v>
      </c>
      <c r="M28" s="6">
        <f>Input!I23/Input!I$7</f>
        <v>13.832324568748954</v>
      </c>
      <c r="N28" s="6">
        <f>Input!J23/Input!J$7</f>
        <v>18.475611203417991</v>
      </c>
      <c r="O28" s="6">
        <f t="shared" si="1"/>
        <v>13.468544573709375</v>
      </c>
    </row>
    <row r="29" spans="2:15" ht="14.25" customHeight="1" x14ac:dyDescent="0.2">
      <c r="B29" s="4" t="s">
        <v>15</v>
      </c>
      <c r="E29" s="8">
        <f>SUM(E26:E28)</f>
        <v>102.39181836110838</v>
      </c>
      <c r="F29" s="8">
        <f t="shared" ref="F29:N29" si="5">SUM(F26:F28)</f>
        <v>126.00828757689835</v>
      </c>
      <c r="G29" s="8">
        <f t="shared" si="5"/>
        <v>118.9019842071435</v>
      </c>
      <c r="H29" s="8">
        <f t="shared" si="5"/>
        <v>119.1137419651056</v>
      </c>
      <c r="I29" s="8">
        <f t="shared" si="5"/>
        <v>114.19672176308541</v>
      </c>
      <c r="J29" s="8">
        <f t="shared" si="5"/>
        <v>114.85966119001206</v>
      </c>
      <c r="K29" s="8">
        <f t="shared" si="5"/>
        <v>116.054116773415</v>
      </c>
      <c r="L29" s="8">
        <f t="shared" si="5"/>
        <v>115.22702415640568</v>
      </c>
      <c r="M29" s="8">
        <f t="shared" si="5"/>
        <v>114.10070005024284</v>
      </c>
      <c r="N29" s="8">
        <f t="shared" si="5"/>
        <v>128.59015547116067</v>
      </c>
      <c r="O29" s="8">
        <f t="shared" si="1"/>
        <v>116.94442115145776</v>
      </c>
    </row>
    <row r="30" spans="2:15" ht="3" customHeight="1" x14ac:dyDescent="0.2">
      <c r="E30" s="17"/>
      <c r="F30" s="17"/>
      <c r="G30" s="17"/>
      <c r="H30" s="17"/>
      <c r="I30" s="17"/>
      <c r="J30" s="17"/>
      <c r="K30" s="17"/>
      <c r="L30" s="17"/>
      <c r="M30" s="17"/>
      <c r="N30" s="17"/>
      <c r="O30" s="6"/>
    </row>
    <row r="31" spans="2:15" x14ac:dyDescent="0.2">
      <c r="B31" s="1" t="s">
        <v>67</v>
      </c>
      <c r="E31" s="7">
        <f>SUM(E13,E19,E24,E29)</f>
        <v>513.31613943398088</v>
      </c>
      <c r="F31" s="7">
        <f t="shared" ref="F31:N31" si="6">SUM(F13,F19,F24,F29)</f>
        <v>495.81834450463685</v>
      </c>
      <c r="G31" s="7">
        <f t="shared" si="6"/>
        <v>451.03219814525755</v>
      </c>
      <c r="H31" s="7">
        <f t="shared" si="6"/>
        <v>459.44202387511478</v>
      </c>
      <c r="I31" s="7">
        <f t="shared" si="6"/>
        <v>450.5418650137741</v>
      </c>
      <c r="J31" s="7">
        <f t="shared" si="6"/>
        <v>452.20442402302052</v>
      </c>
      <c r="K31" s="7">
        <f t="shared" si="6"/>
        <v>453.6375457161422</v>
      </c>
      <c r="L31" s="7">
        <f t="shared" si="6"/>
        <v>452.25965128301533</v>
      </c>
      <c r="M31" s="7">
        <f t="shared" si="6"/>
        <v>460.22041366605259</v>
      </c>
      <c r="N31" s="7">
        <f t="shared" si="6"/>
        <v>573.86907666745788</v>
      </c>
      <c r="O31" s="7">
        <f t="shared" si="1"/>
        <v>476.23416823284532</v>
      </c>
    </row>
    <row r="32" spans="2:15" ht="6" customHeight="1" x14ac:dyDescent="0.2">
      <c r="E32" s="17"/>
      <c r="F32" s="17"/>
      <c r="G32" s="17"/>
      <c r="H32" s="17"/>
      <c r="I32" s="17"/>
      <c r="J32" s="17"/>
      <c r="K32" s="17"/>
      <c r="L32" s="17"/>
      <c r="M32" s="17"/>
      <c r="N32" s="17"/>
      <c r="O32" s="6"/>
    </row>
    <row r="33" spans="2:15" ht="12" customHeight="1" x14ac:dyDescent="0.2">
      <c r="B33" t="s">
        <v>303</v>
      </c>
      <c r="E33" s="6">
        <f>(Input!A27+Input!A203+Input!A207)/Input!A$7</f>
        <v>499.26637116655166</v>
      </c>
      <c r="F33" s="6">
        <f>(Input!B27+Input!B203+Input!B207)/Input!B$7</f>
        <v>500.77531907079242</v>
      </c>
      <c r="G33" s="6">
        <f>(Input!C27+Input!C203+Input!C207)/Input!C$7</f>
        <v>528.64661922688458</v>
      </c>
      <c r="H33" s="6">
        <f>(Input!D27+Input!D203+Input!D207)/Input!D$7</f>
        <v>488.46352984389347</v>
      </c>
      <c r="I33" s="6">
        <f>(Input!E27+Input!E203+Input!E207)/Input!E$7</f>
        <v>427.88950964187336</v>
      </c>
      <c r="J33" s="6">
        <f>(Input!F27+Input!F203+Input!F207)/Input!F$7</f>
        <v>482.62349948946439</v>
      </c>
      <c r="K33" s="6">
        <f>(Input!G27+Input!G203+Input!G207)/Input!G$7</f>
        <v>494.35357003620169</v>
      </c>
      <c r="L33" s="6">
        <f>(Input!H27+Input!H203+Input!H207)/Input!H$7</f>
        <v>484.92040605320051</v>
      </c>
      <c r="M33" s="6">
        <f>(Input!I27+Input!I203+Input!I207)/Input!I$7</f>
        <v>532.00227935019268</v>
      </c>
      <c r="N33" s="6">
        <f>(Input!J27+Input!J203+Input!J207)/Input!J$7</f>
        <v>725.22598504628536</v>
      </c>
      <c r="O33" s="6">
        <f t="shared" si="1"/>
        <v>516.41670889253396</v>
      </c>
    </row>
    <row r="34" spans="2:15" ht="12" customHeight="1" x14ac:dyDescent="0.2">
      <c r="B34" t="s">
        <v>69</v>
      </c>
      <c r="E34" s="6">
        <f>Input!A28/Input!A$7</f>
        <v>0.10488117542648653</v>
      </c>
      <c r="F34" s="6">
        <f>Input!B28/Input!B$7</f>
        <v>0.39868148012120097</v>
      </c>
      <c r="G34" s="6">
        <f>Input!C28/Input!C$7</f>
        <v>0.18210448994582681</v>
      </c>
      <c r="H34" s="6">
        <f>Input!D28/Input!D$7</f>
        <v>0.96712488521579432</v>
      </c>
      <c r="I34" s="6">
        <f>Input!E28/Input!E$7</f>
        <v>0.42739944903581267</v>
      </c>
      <c r="J34" s="6">
        <f>Input!F28/Input!F$7</f>
        <v>1.0983115195395898</v>
      </c>
      <c r="K34" s="6">
        <f>Input!G28/Input!G$7</f>
        <v>0.81369256474519636</v>
      </c>
      <c r="L34" s="6">
        <f>Input!H28/Input!H$7</f>
        <v>0.6839665382084783</v>
      </c>
      <c r="M34" s="6">
        <f>Input!I28/Input!I$7</f>
        <v>1.1667626863171998</v>
      </c>
      <c r="N34" s="6">
        <f>Input!J28/Input!J$7</f>
        <v>0.41773320674103964</v>
      </c>
      <c r="O34" s="6">
        <f t="shared" si="1"/>
        <v>0.62606579952966257</v>
      </c>
    </row>
    <row r="35" spans="2:15" ht="12" customHeight="1" x14ac:dyDescent="0.2">
      <c r="B35" t="s">
        <v>75</v>
      </c>
      <c r="E35" s="6">
        <f>(Input!A29-Input!A203-Input!A207)/Input!A$7</f>
        <v>58.955744009466514</v>
      </c>
      <c r="F35" s="6">
        <f>(Input!B29-Input!B203-Input!B207)/Input!B$7</f>
        <v>67.253176016894685</v>
      </c>
      <c r="G35" s="6">
        <f>(Input!C29-Input!C203-Input!C207)/Input!C$7</f>
        <v>53.266240014691029</v>
      </c>
      <c r="H35" s="6">
        <f>(Input!D29-Input!D203-Input!D207)/Input!D$7</f>
        <v>45.710520661157034</v>
      </c>
      <c r="I35" s="6">
        <f>(Input!E29-Input!E203-Input!E207)/Input!E$7</f>
        <v>49.708033057851239</v>
      </c>
      <c r="J35" s="6">
        <f>(Input!F29-Input!F203-Input!F207)/Input!F$7</f>
        <v>39.963751972523895</v>
      </c>
      <c r="K35" s="6">
        <f>(Input!G29-Input!G203-Input!G207)/Input!G$7</f>
        <v>59.277642253782609</v>
      </c>
      <c r="L35" s="6">
        <f>(Input!H29-Input!H203-Input!H207)/Input!H$7</f>
        <v>40.563450512266186</v>
      </c>
      <c r="M35" s="6">
        <f>(Input!I29-Input!I203-Input!I207)/Input!I$7</f>
        <v>47.711234299112384</v>
      </c>
      <c r="N35" s="6">
        <f>(Input!J29-Input!J203-Input!J207)/Input!J$7</f>
        <v>62.244468312366472</v>
      </c>
      <c r="O35" s="6">
        <f t="shared" si="1"/>
        <v>52.465426111011212</v>
      </c>
    </row>
    <row r="36" spans="2:15" ht="13.5" customHeight="1" x14ac:dyDescent="0.2">
      <c r="B36" s="1" t="s">
        <v>71</v>
      </c>
      <c r="E36" s="7">
        <f>SUM(E33:E35)</f>
        <v>558.32699635144468</v>
      </c>
      <c r="F36" s="7">
        <f t="shared" ref="F36:N36" si="7">SUM(F33:F35)</f>
        <v>568.42717656780826</v>
      </c>
      <c r="G36" s="7">
        <f t="shared" si="7"/>
        <v>582.09496373152137</v>
      </c>
      <c r="H36" s="7">
        <f t="shared" si="7"/>
        <v>535.14117539026631</v>
      </c>
      <c r="I36" s="7">
        <f t="shared" si="7"/>
        <v>478.02494214876043</v>
      </c>
      <c r="J36" s="7">
        <f t="shared" si="7"/>
        <v>523.68556298152794</v>
      </c>
      <c r="K36" s="7">
        <f t="shared" si="7"/>
        <v>554.44490485472954</v>
      </c>
      <c r="L36" s="7">
        <f t="shared" si="7"/>
        <v>526.16782310367523</v>
      </c>
      <c r="M36" s="7">
        <f t="shared" si="7"/>
        <v>580.88027633562217</v>
      </c>
      <c r="N36" s="7">
        <f t="shared" si="7"/>
        <v>787.88818656539286</v>
      </c>
      <c r="O36" s="7">
        <f t="shared" si="1"/>
        <v>569.50820080307494</v>
      </c>
    </row>
    <row r="37" spans="2:15" ht="6" customHeight="1" x14ac:dyDescent="0.2">
      <c r="E37" s="17"/>
      <c r="F37" s="17"/>
      <c r="G37" s="17"/>
      <c r="H37" s="17"/>
      <c r="I37" s="17"/>
      <c r="J37" s="17"/>
      <c r="K37" s="17"/>
      <c r="L37" s="17"/>
      <c r="M37" s="17"/>
      <c r="N37" s="17"/>
      <c r="O37" s="6"/>
    </row>
    <row r="38" spans="2:15" x14ac:dyDescent="0.2">
      <c r="B38" s="9" t="s">
        <v>73</v>
      </c>
      <c r="C38" s="10"/>
      <c r="D38" s="10"/>
      <c r="E38" s="11">
        <f>E36-E31</f>
        <v>45.010856917463798</v>
      </c>
      <c r="F38" s="11">
        <f t="shared" ref="F38:N38" si="8">F36-F31</f>
        <v>72.608832063171405</v>
      </c>
      <c r="G38" s="11">
        <f t="shared" si="8"/>
        <v>131.06276558626382</v>
      </c>
      <c r="H38" s="11">
        <f t="shared" si="8"/>
        <v>75.699151515151527</v>
      </c>
      <c r="I38" s="11">
        <f t="shared" si="8"/>
        <v>27.483077134986331</v>
      </c>
      <c r="J38" s="11">
        <f t="shared" si="8"/>
        <v>71.481138958507415</v>
      </c>
      <c r="K38" s="11">
        <f t="shared" si="8"/>
        <v>100.80735913858734</v>
      </c>
      <c r="L38" s="11">
        <f t="shared" si="8"/>
        <v>73.908171820659902</v>
      </c>
      <c r="M38" s="11">
        <f t="shared" si="8"/>
        <v>120.65986266956958</v>
      </c>
      <c r="N38" s="11">
        <f t="shared" si="8"/>
        <v>214.01910989793498</v>
      </c>
      <c r="O38" s="11">
        <f t="shared" si="1"/>
        <v>93.274032570229593</v>
      </c>
    </row>
    <row r="39" spans="2:15" ht="6" customHeight="1" x14ac:dyDescent="0.2">
      <c r="E39" s="17"/>
      <c r="F39" s="17"/>
      <c r="G39" s="17"/>
      <c r="H39" s="17"/>
      <c r="I39" s="17"/>
      <c r="J39" s="17"/>
      <c r="K39" s="17"/>
      <c r="L39" s="17"/>
      <c r="M39" s="17"/>
      <c r="N39" s="17"/>
      <c r="O39" s="6"/>
    </row>
    <row r="40" spans="2:15" ht="13.5" customHeight="1" x14ac:dyDescent="0.2">
      <c r="B40" s="4" t="s">
        <v>70</v>
      </c>
      <c r="E40" s="8">
        <f>(Input!A25 + Input!A26) / Input!A$7</f>
        <v>14.564027216250862</v>
      </c>
      <c r="F40" s="8">
        <f>(Input!B25 + Input!B26) / Input!B$7</f>
        <v>15.853744376090351</v>
      </c>
      <c r="G40" s="8">
        <f>(Input!C25 + Input!C26) / Input!C$7</f>
        <v>14.705435680837388</v>
      </c>
      <c r="H40" s="8">
        <f>(Input!D25 + Input!D26) / Input!D$7</f>
        <v>14.798665748393022</v>
      </c>
      <c r="I40" s="8">
        <f>(Input!E25 + Input!E26) / Input!E$7</f>
        <v>14.716725436179983</v>
      </c>
      <c r="J40" s="8">
        <f>(Input!F25 + Input!F26) / Input!F$7</f>
        <v>15.743215446022464</v>
      </c>
      <c r="K40" s="8">
        <f>(Input!G25 + Input!G26) / Input!G$7</f>
        <v>15.963287849252762</v>
      </c>
      <c r="L40" s="8">
        <f>(Input!H25 + Input!H26) / Input!H$7</f>
        <v>16.489242410000937</v>
      </c>
      <c r="M40" s="8">
        <f>(Input!I25 + Input!I26) / Input!I$7</f>
        <v>18.323830179199465</v>
      </c>
      <c r="N40" s="8">
        <f>(Input!J25 + Input!J26) / Input!J$7</f>
        <v>21.971731545217185</v>
      </c>
      <c r="O40" s="8">
        <f t="shared" si="1"/>
        <v>16.312990588744441</v>
      </c>
    </row>
    <row r="41" spans="2:15" ht="6" customHeight="1" x14ac:dyDescent="0.2">
      <c r="E41" s="17"/>
      <c r="F41" s="17"/>
      <c r="G41" s="17"/>
      <c r="H41" s="17"/>
      <c r="I41" s="17"/>
      <c r="J41" s="17"/>
      <c r="K41" s="17"/>
      <c r="L41" s="17"/>
      <c r="M41" s="17"/>
      <c r="N41" s="17"/>
      <c r="O41" s="6"/>
    </row>
    <row r="42" spans="2:15" x14ac:dyDescent="0.2">
      <c r="B42" s="9" t="s">
        <v>74</v>
      </c>
      <c r="C42" s="10"/>
      <c r="D42" s="10"/>
      <c r="E42" s="11">
        <f>+E38-E40</f>
        <v>30.446829701212934</v>
      </c>
      <c r="F42" s="11">
        <f t="shared" ref="F42:N42" si="9">+F38-F40</f>
        <v>56.755087687081058</v>
      </c>
      <c r="G42" s="11">
        <f t="shared" si="9"/>
        <v>116.35732990542644</v>
      </c>
      <c r="H42" s="11">
        <f t="shared" si="9"/>
        <v>60.900485766758507</v>
      </c>
      <c r="I42" s="11">
        <f t="shared" si="9"/>
        <v>12.766351698806348</v>
      </c>
      <c r="J42" s="11">
        <f t="shared" si="9"/>
        <v>55.737923512484954</v>
      </c>
      <c r="K42" s="11">
        <f t="shared" si="9"/>
        <v>84.844071289334579</v>
      </c>
      <c r="L42" s="11">
        <f t="shared" si="9"/>
        <v>57.418929410658961</v>
      </c>
      <c r="M42" s="11">
        <f t="shared" si="9"/>
        <v>102.33603249037012</v>
      </c>
      <c r="N42" s="11">
        <f t="shared" si="9"/>
        <v>192.0473783527178</v>
      </c>
      <c r="O42" s="11">
        <f t="shared" si="1"/>
        <v>76.961041981485181</v>
      </c>
    </row>
  </sheetData>
  <mergeCells count="3">
    <mergeCell ref="D1:M1"/>
    <mergeCell ref="D2:M2"/>
    <mergeCell ref="D3:M3"/>
  </mergeCells>
  <phoneticPr fontId="0" type="noConversion"/>
  <printOptions horizontalCentered="1"/>
  <pageMargins left="0.78740157480314965" right="0.78740157480314965" top="0.78740157480314965" bottom="0.78740157480314965" header="0.43307086614173229" footer="0.43307086614173229"/>
  <pageSetup paperSize="9" orientation="landscape" horizontalDpi="0" r:id="rId1"/>
  <headerFooter alignWithMargins="0">
    <oddFooter>&amp;L&amp;8BOKU / HVLFÖ&amp;C&amp;8DVR-Nr: 0890723&amp;R&amp;8&amp;D</oddFooter>
  </headerFooter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dimension ref="A1:O42"/>
  <sheetViews>
    <sheetView workbookViewId="0">
      <selection activeCell="D2" sqref="D2:M2"/>
    </sheetView>
  </sheetViews>
  <sheetFormatPr baseColWidth="10" defaultRowHeight="12.75" x14ac:dyDescent="0.2"/>
  <cols>
    <col min="1" max="1" width="0.85546875" customWidth="1"/>
    <col min="2" max="2" width="10.28515625" customWidth="1"/>
    <col min="3" max="3" width="8.7109375" customWidth="1"/>
    <col min="4" max="4" width="9.7109375" customWidth="1"/>
    <col min="5" max="9" width="8.7109375" customWidth="1"/>
    <col min="10" max="10" width="8.42578125" customWidth="1"/>
    <col min="11" max="13" width="8.7109375" customWidth="1"/>
    <col min="14" max="14" width="8.5703125" customWidth="1"/>
    <col min="15" max="15" width="10.7109375" customWidth="1"/>
  </cols>
  <sheetData>
    <row r="1" spans="1:15" ht="15.75" customHeight="1" x14ac:dyDescent="0.25">
      <c r="A1" t="s">
        <v>48</v>
      </c>
      <c r="C1" s="12">
        <f>Input!A3</f>
        <v>2024</v>
      </c>
      <c r="D1" s="36" t="s">
        <v>14</v>
      </c>
      <c r="E1" s="36"/>
      <c r="F1" s="36"/>
      <c r="G1" s="36"/>
      <c r="H1" s="36"/>
      <c r="I1" s="36"/>
      <c r="J1" s="36"/>
      <c r="K1" s="36"/>
      <c r="L1" s="36"/>
      <c r="M1" s="36"/>
      <c r="O1" s="3" t="s">
        <v>252</v>
      </c>
    </row>
    <row r="2" spans="1:15" ht="15.75" customHeight="1" x14ac:dyDescent="0.2">
      <c r="D2" s="37" t="str">
        <f>Kenndat!D2</f>
        <v>Produktionsgebiet 1: Alpenvorland</v>
      </c>
      <c r="E2" s="37"/>
      <c r="F2" s="37"/>
      <c r="G2" s="37"/>
      <c r="H2" s="37"/>
      <c r="I2" s="37"/>
      <c r="J2" s="37"/>
      <c r="K2" s="37"/>
      <c r="L2" s="37"/>
      <c r="M2" s="37"/>
    </row>
    <row r="3" spans="1:15" ht="15.75" customHeight="1" x14ac:dyDescent="0.2">
      <c r="D3" s="38" t="s">
        <v>172</v>
      </c>
      <c r="E3" s="38"/>
      <c r="F3" s="38"/>
      <c r="G3" s="38"/>
      <c r="H3" s="38"/>
      <c r="I3" s="38"/>
      <c r="J3" s="38"/>
      <c r="K3" s="38"/>
      <c r="L3" s="38"/>
      <c r="M3" s="38"/>
    </row>
    <row r="4" spans="1:15" ht="3.75" customHeight="1" x14ac:dyDescent="0.2"/>
    <row r="5" spans="1:15" x14ac:dyDescent="0.2">
      <c r="B5" t="s">
        <v>72</v>
      </c>
      <c r="E5">
        <f>Input!A3</f>
        <v>2024</v>
      </c>
      <c r="F5" s="3">
        <f>+E5-1</f>
        <v>2023</v>
      </c>
      <c r="G5" s="3">
        <f t="shared" ref="G5:N5" si="0">+F5-1</f>
        <v>2022</v>
      </c>
      <c r="H5" s="3">
        <f t="shared" si="0"/>
        <v>2021</v>
      </c>
      <c r="I5" s="3">
        <f t="shared" si="0"/>
        <v>2020</v>
      </c>
      <c r="J5" s="3">
        <f t="shared" si="0"/>
        <v>2019</v>
      </c>
      <c r="K5" s="3">
        <f t="shared" si="0"/>
        <v>2018</v>
      </c>
      <c r="L5" s="3">
        <f t="shared" si="0"/>
        <v>2017</v>
      </c>
      <c r="M5" s="3">
        <f t="shared" si="0"/>
        <v>2016</v>
      </c>
      <c r="N5" s="3">
        <f t="shared" si="0"/>
        <v>2015</v>
      </c>
      <c r="O5" s="3" t="s">
        <v>16</v>
      </c>
    </row>
    <row r="6" spans="1:15" ht="7.5" customHeight="1" x14ac:dyDescent="0.2"/>
    <row r="7" spans="1:15" ht="12" customHeight="1" x14ac:dyDescent="0.2">
      <c r="B7" t="s">
        <v>49</v>
      </c>
      <c r="E7" s="6">
        <f>Input!A8/Input!A$7</f>
        <v>0</v>
      </c>
      <c r="F7" s="6">
        <f>Input!B8/Input!B$7</f>
        <v>0</v>
      </c>
      <c r="G7" s="6">
        <f>Input!C8/Input!C$7</f>
        <v>0</v>
      </c>
      <c r="H7" s="6">
        <f>Input!D8/Input!D$7</f>
        <v>0</v>
      </c>
      <c r="I7" s="6">
        <f>Input!E8/Input!E$7</f>
        <v>0.78429752066115699</v>
      </c>
      <c r="J7" s="6">
        <f>Input!F8/Input!F$7</f>
        <v>0.71697670101178868</v>
      </c>
      <c r="K7" s="6">
        <f>Input!G8/Input!G$7</f>
        <v>0</v>
      </c>
      <c r="L7" s="6">
        <f>Input!H8/Input!H$7</f>
        <v>1.2435379264968512E-2</v>
      </c>
      <c r="M7" s="6">
        <f>Input!I8/Input!I$7</f>
        <v>0.5112024786467928</v>
      </c>
      <c r="N7" s="6">
        <f>Input!J8/Input!J$7</f>
        <v>0</v>
      </c>
      <c r="O7" s="6">
        <f>AVERAGE(E7:N7)</f>
        <v>0.20249120795847073</v>
      </c>
    </row>
    <row r="8" spans="1:15" ht="12" customHeight="1" x14ac:dyDescent="0.2">
      <c r="B8" t="s">
        <v>50</v>
      </c>
      <c r="E8" s="6">
        <f>Input!A9/Input!A$7</f>
        <v>27.93346612760083</v>
      </c>
      <c r="F8" s="6">
        <f>Input!B9/Input!B$7</f>
        <v>31.973911486548527</v>
      </c>
      <c r="G8" s="6">
        <f>Input!C9/Input!C$7</f>
        <v>32.126011385547699</v>
      </c>
      <c r="H8" s="6">
        <f>Input!D9/Input!D$7</f>
        <v>28.411922865013775</v>
      </c>
      <c r="I8" s="6">
        <f>Input!E9/Input!E$7</f>
        <v>29.565639118457302</v>
      </c>
      <c r="J8" s="6">
        <f>Input!F9/Input!F$7</f>
        <v>25.565054302422723</v>
      </c>
      <c r="K8" s="6">
        <f>Input!G9/Input!G$7</f>
        <v>21.572358674463938</v>
      </c>
      <c r="L8" s="6">
        <f>Input!H9/Input!H$7</f>
        <v>25.789499953003101</v>
      </c>
      <c r="M8" s="6">
        <f>Input!I9/Input!I$7</f>
        <v>30.060705074526879</v>
      </c>
      <c r="N8" s="6">
        <f>Input!J9/Input!J$7</f>
        <v>25.579417279848091</v>
      </c>
      <c r="O8" s="6">
        <f t="shared" ref="O8:O42" si="1">AVERAGE(E8:N8)</f>
        <v>27.857798626743282</v>
      </c>
    </row>
    <row r="9" spans="1:15" ht="12" customHeight="1" x14ac:dyDescent="0.2">
      <c r="B9" t="s">
        <v>51</v>
      </c>
      <c r="E9" s="6">
        <f>Input!A10/Input!A$7</f>
        <v>38.162857706340596</v>
      </c>
      <c r="F9" s="6">
        <f>Input!B10/Input!B$7</f>
        <v>30.27933798549261</v>
      </c>
      <c r="G9" s="6">
        <f>Input!C10/Input!C$7</f>
        <v>29.277326232669175</v>
      </c>
      <c r="H9" s="6">
        <f>Input!D10/Input!D$7</f>
        <v>34.962510560146924</v>
      </c>
      <c r="I9" s="6">
        <f>Input!E10/Input!E$7</f>
        <v>35.82783287419651</v>
      </c>
      <c r="J9" s="6">
        <f>Input!F10/Input!F$7</f>
        <v>36.212198087812126</v>
      </c>
      <c r="K9" s="6">
        <f>Input!G10/Input!G$7</f>
        <v>38.103509700176367</v>
      </c>
      <c r="L9" s="6">
        <f>Input!H10/Input!H$7</f>
        <v>24.350708713224929</v>
      </c>
      <c r="M9" s="6">
        <f>Input!I10/Input!I$7</f>
        <v>26.004679283202144</v>
      </c>
      <c r="N9" s="6">
        <f>Input!J10/Input!J$7</f>
        <v>17.285302634702113</v>
      </c>
      <c r="O9" s="6">
        <f t="shared" si="1"/>
        <v>31.046626377796354</v>
      </c>
    </row>
    <row r="10" spans="1:15" ht="12" customHeight="1" x14ac:dyDescent="0.2">
      <c r="B10" t="s">
        <v>52</v>
      </c>
      <c r="E10" s="6">
        <f>Input!A11/Input!A$7</f>
        <v>14.744035105019229</v>
      </c>
      <c r="F10" s="6">
        <f>Input!B11/Input!B$7</f>
        <v>3.2349756679827384</v>
      </c>
      <c r="G10" s="6">
        <f>Input!C11/Input!C$7</f>
        <v>1.8099182811495731</v>
      </c>
      <c r="H10" s="6">
        <f>Input!D11/Input!D$7</f>
        <v>5.7147153351698803</v>
      </c>
      <c r="I10" s="6">
        <f>Input!E11/Input!E$7</f>
        <v>4.7572534435261709</v>
      </c>
      <c r="J10" s="6">
        <f>Input!F11/Input!F$7</f>
        <v>5.3741557597697946</v>
      </c>
      <c r="K10" s="6">
        <f>Input!G11/Input!G$7</f>
        <v>8.896446672236145</v>
      </c>
      <c r="L10" s="6">
        <f>Input!H11/Input!H$7</f>
        <v>7.2080054516401919</v>
      </c>
      <c r="M10" s="6">
        <f>Input!I11/Input!I$7</f>
        <v>15.781910902696366</v>
      </c>
      <c r="N10" s="6">
        <f>Input!J11/Input!J$7</f>
        <v>10.335865179207216</v>
      </c>
      <c r="O10" s="6">
        <f t="shared" si="1"/>
        <v>7.7857281798397313</v>
      </c>
    </row>
    <row r="11" spans="1:15" ht="12" customHeight="1" x14ac:dyDescent="0.2">
      <c r="B11" t="s">
        <v>53</v>
      </c>
      <c r="E11" s="6">
        <f>Input!A12/Input!A$7</f>
        <v>16.938538605660192</v>
      </c>
      <c r="F11" s="6">
        <f>Input!B12/Input!B$7</f>
        <v>14.521254246625656</v>
      </c>
      <c r="G11" s="6">
        <f>Input!C12/Input!C$7</f>
        <v>12.76272334955468</v>
      </c>
      <c r="H11" s="6">
        <f>Input!D12/Input!D$7</f>
        <v>15.947686868686869</v>
      </c>
      <c r="I11" s="6">
        <f>Input!E12/Input!E$7</f>
        <v>15.717791551882462</v>
      </c>
      <c r="J11" s="6">
        <f>Input!F12/Input!F$7</f>
        <v>14.385502645502644</v>
      </c>
      <c r="K11" s="6">
        <f>Input!G12/Input!G$7</f>
        <v>17.558805346700083</v>
      </c>
      <c r="L11" s="6">
        <f>Input!H12/Input!H$7</f>
        <v>16.796194191183382</v>
      </c>
      <c r="M11" s="6">
        <f>Input!I12/Input!I$7</f>
        <v>39.318283369619827</v>
      </c>
      <c r="N11" s="6">
        <f>Input!J12/Input!J$7</f>
        <v>30.012396154759081</v>
      </c>
      <c r="O11" s="6">
        <f t="shared" si="1"/>
        <v>19.395917633017483</v>
      </c>
    </row>
    <row r="12" spans="1:15" ht="12" customHeight="1" x14ac:dyDescent="0.2">
      <c r="B12" t="s">
        <v>54</v>
      </c>
      <c r="E12" s="6">
        <f>Input!A13/Input!A$7</f>
        <v>5.0831545212503695</v>
      </c>
      <c r="F12" s="6">
        <f>Input!B13/Input!B$7</f>
        <v>4.7931585712974014</v>
      </c>
      <c r="G12" s="6">
        <f>Input!C13/Input!C$7</f>
        <v>3.4217289505095954</v>
      </c>
      <c r="H12" s="6">
        <f>Input!D13/Input!D$7</f>
        <v>3.5716060606060607</v>
      </c>
      <c r="I12" s="6">
        <f>Input!E13/Input!E$7</f>
        <v>3.4160284664830121</v>
      </c>
      <c r="J12" s="6">
        <f>Input!F13/Input!F$7</f>
        <v>3.3081518611343173</v>
      </c>
      <c r="K12" s="6">
        <f>Input!G13/Input!G$7</f>
        <v>1.9782641789659334</v>
      </c>
      <c r="L12" s="6">
        <f>Input!H13/Input!H$7</f>
        <v>1.5934223141272674</v>
      </c>
      <c r="M12" s="6">
        <f>Input!I13/Input!I$7</f>
        <v>4.2911254396248539</v>
      </c>
      <c r="N12" s="6">
        <f>Input!J13/Input!J$7</f>
        <v>3.3339746024210775</v>
      </c>
      <c r="O12" s="6">
        <f t="shared" si="1"/>
        <v>3.4790614966419886</v>
      </c>
    </row>
    <row r="13" spans="1:15" ht="13.5" customHeight="1" x14ac:dyDescent="0.2">
      <c r="B13" s="4" t="s">
        <v>55</v>
      </c>
      <c r="E13" s="8">
        <f>SUM(E7:E12)</f>
        <v>102.86205206587123</v>
      </c>
      <c r="F13" s="8">
        <f t="shared" ref="F13:N13" si="2">SUM(F7:F12)</f>
        <v>84.802637957946928</v>
      </c>
      <c r="G13" s="8">
        <f t="shared" si="2"/>
        <v>79.39770819943071</v>
      </c>
      <c r="H13" s="8">
        <f t="shared" si="2"/>
        <v>88.608441689623518</v>
      </c>
      <c r="I13" s="8">
        <f t="shared" si="2"/>
        <v>90.068842975206607</v>
      </c>
      <c r="J13" s="8">
        <f t="shared" si="2"/>
        <v>85.56203935765339</v>
      </c>
      <c r="K13" s="8">
        <f t="shared" si="2"/>
        <v>88.109384572542453</v>
      </c>
      <c r="L13" s="8">
        <f t="shared" si="2"/>
        <v>75.750266002443837</v>
      </c>
      <c r="M13" s="8">
        <f t="shared" si="2"/>
        <v>115.96790654831686</v>
      </c>
      <c r="N13" s="8">
        <f t="shared" si="2"/>
        <v>86.546955850937593</v>
      </c>
      <c r="O13" s="8">
        <f t="shared" si="1"/>
        <v>89.767623521997308</v>
      </c>
    </row>
    <row r="14" spans="1:15" ht="3" customHeight="1" x14ac:dyDescent="0.2">
      <c r="E14" s="17"/>
      <c r="F14" s="17"/>
      <c r="G14" s="17"/>
      <c r="H14" s="17"/>
      <c r="I14" s="17"/>
      <c r="J14" s="17"/>
      <c r="K14" s="17"/>
      <c r="L14" s="17"/>
      <c r="M14" s="17"/>
      <c r="N14" s="17"/>
      <c r="O14" s="6"/>
    </row>
    <row r="15" spans="1:15" ht="12" customHeight="1" x14ac:dyDescent="0.2">
      <c r="B15" t="s">
        <v>56</v>
      </c>
      <c r="E15" s="6">
        <f>Input!A30/Input!A$7</f>
        <v>191.10267626466819</v>
      </c>
      <c r="F15" s="6">
        <f>Input!B30/Input!B$7</f>
        <v>180.06058121384629</v>
      </c>
      <c r="G15" s="6">
        <f>Input!C30/Input!C$7</f>
        <v>140.05784133688366</v>
      </c>
      <c r="H15" s="6">
        <f>Input!D30/Input!D$7</f>
        <v>147.82022589531681</v>
      </c>
      <c r="I15" s="6">
        <f>Input!E30/Input!E$7</f>
        <v>152.15721763085401</v>
      </c>
      <c r="J15" s="6">
        <f>Input!F30/Input!F$7</f>
        <v>153.67794022092266</v>
      </c>
      <c r="K15" s="6">
        <f>Input!G30/Input!G$7</f>
        <v>141.12461060057549</v>
      </c>
      <c r="L15" s="6">
        <f>Input!H30/Input!H$7</f>
        <v>153.95574584077451</v>
      </c>
      <c r="M15" s="6">
        <f>Input!I30/Input!I$7</f>
        <v>175.27085580304808</v>
      </c>
      <c r="N15" s="6">
        <f>Input!J30/Input!J$7</f>
        <v>189.4068407310705</v>
      </c>
      <c r="O15" s="6">
        <f t="shared" si="1"/>
        <v>162.46345355379603</v>
      </c>
    </row>
    <row r="16" spans="1:15" ht="12" customHeight="1" x14ac:dyDescent="0.2">
      <c r="B16" t="s">
        <v>57</v>
      </c>
      <c r="E16" s="6">
        <f>Input!A31/Input!A$7</f>
        <v>35.820917069322547</v>
      </c>
      <c r="F16" s="6">
        <f>Input!B31/Input!B$7</f>
        <v>35.021632540629874</v>
      </c>
      <c r="G16" s="6">
        <f>Input!C31/Input!C$7</f>
        <v>29.101656413552476</v>
      </c>
      <c r="H16" s="6">
        <f>Input!D31/Input!D$7</f>
        <v>28.482251606978878</v>
      </c>
      <c r="I16" s="6">
        <f>Input!E31/Input!E$7</f>
        <v>30.424281910009181</v>
      </c>
      <c r="J16" s="6">
        <f>Input!F31/Input!F$7</f>
        <v>28.419450478046969</v>
      </c>
      <c r="K16" s="6">
        <f>Input!G31/Input!G$7</f>
        <v>28.824919706674091</v>
      </c>
      <c r="L16" s="6">
        <f>Input!H31/Input!H$7</f>
        <v>29.688683146912307</v>
      </c>
      <c r="M16" s="6">
        <f>Input!I31/Input!I$7</f>
        <v>12.781599397085914</v>
      </c>
      <c r="N16" s="6">
        <f>Input!J31/Input!J$7</f>
        <v>19.027352243057205</v>
      </c>
      <c r="O16" s="6">
        <f t="shared" si="1"/>
        <v>27.759274451226936</v>
      </c>
    </row>
    <row r="17" spans="2:15" ht="12" customHeight="1" x14ac:dyDescent="0.2">
      <c r="B17" t="s">
        <v>58</v>
      </c>
      <c r="E17" s="6">
        <f>Input!A32/Input!A$7</f>
        <v>24.639307760575882</v>
      </c>
      <c r="F17" s="6">
        <f>Input!B32/Input!B$7</f>
        <v>21.81900927371224</v>
      </c>
      <c r="G17" s="6">
        <f>Input!C32/Input!C$7</f>
        <v>16.681518685152881</v>
      </c>
      <c r="H17" s="6">
        <f>Input!D32/Input!D$7</f>
        <v>16.057903581267219</v>
      </c>
      <c r="I17" s="6">
        <f>Input!E32/Input!E$7</f>
        <v>23.682838383838384</v>
      </c>
      <c r="J17" s="6">
        <f>Input!F32/Input!F$7</f>
        <v>26.189308456326</v>
      </c>
      <c r="K17" s="6">
        <f>Input!G32/Input!G$7</f>
        <v>29.078185278009837</v>
      </c>
      <c r="L17" s="6">
        <f>Input!H32/Input!H$7</f>
        <v>26.285608609831755</v>
      </c>
      <c r="M17" s="6">
        <f>Input!I32/Input!I$7</f>
        <v>0.11532574108189583</v>
      </c>
      <c r="N17" s="6">
        <f>Input!J32/Input!J$7</f>
        <v>2.5940980299074292</v>
      </c>
      <c r="O17" s="6">
        <f t="shared" si="1"/>
        <v>18.714310379970353</v>
      </c>
    </row>
    <row r="18" spans="2:15" ht="12" customHeight="1" x14ac:dyDescent="0.2">
      <c r="B18" t="s">
        <v>59</v>
      </c>
      <c r="E18" s="6">
        <f>Input!A33/Input!A$7</f>
        <v>5.3707849324524206</v>
      </c>
      <c r="F18" s="6">
        <f>Input!B33/Input!B$7</f>
        <v>4.3298154439445407</v>
      </c>
      <c r="G18" s="6">
        <f>Input!C33/Input!C$7</f>
        <v>2.7836608208612614</v>
      </c>
      <c r="H18" s="6">
        <f>Input!D33/Input!D$7</f>
        <v>2.3198356290174469</v>
      </c>
      <c r="I18" s="6">
        <f>Input!E33/Input!E$7</f>
        <v>2.4616556473829201</v>
      </c>
      <c r="J18" s="6">
        <f>Input!F33/Input!F$7</f>
        <v>3.1196101364522413</v>
      </c>
      <c r="K18" s="6">
        <f>Input!G33/Input!G$7</f>
        <v>2.249897892880349</v>
      </c>
      <c r="L18" s="6">
        <f>Input!H33/Input!H$7</f>
        <v>2.4266895384904594</v>
      </c>
      <c r="M18" s="6">
        <f>Input!I33/Input!I$7</f>
        <v>2.6223731368280019</v>
      </c>
      <c r="N18" s="6">
        <f>Input!J33/Input!J$7</f>
        <v>2.3734512224068363</v>
      </c>
      <c r="O18" s="6">
        <f t="shared" si="1"/>
        <v>3.0057774400716477</v>
      </c>
    </row>
    <row r="19" spans="2:15" ht="13.5" customHeight="1" x14ac:dyDescent="0.2">
      <c r="B19" s="4" t="s">
        <v>60</v>
      </c>
      <c r="E19" s="8">
        <f>SUM(E15:E18)</f>
        <v>256.93368602701906</v>
      </c>
      <c r="F19" s="8">
        <f t="shared" ref="F19:N19" si="3">SUM(F15:F18)</f>
        <v>241.23103847213292</v>
      </c>
      <c r="G19" s="8">
        <f t="shared" si="3"/>
        <v>188.62467725645024</v>
      </c>
      <c r="H19" s="8">
        <f t="shared" si="3"/>
        <v>194.68021671258035</v>
      </c>
      <c r="I19" s="8">
        <f t="shared" si="3"/>
        <v>208.72599357208446</v>
      </c>
      <c r="J19" s="8">
        <f t="shared" si="3"/>
        <v>211.40630929174787</v>
      </c>
      <c r="K19" s="8">
        <f t="shared" si="3"/>
        <v>201.27761347813976</v>
      </c>
      <c r="L19" s="8">
        <f t="shared" si="3"/>
        <v>212.356727136009</v>
      </c>
      <c r="M19" s="8">
        <f t="shared" si="3"/>
        <v>190.79015407804391</v>
      </c>
      <c r="N19" s="8">
        <f t="shared" si="3"/>
        <v>213.40174222644197</v>
      </c>
      <c r="O19" s="8">
        <f t="shared" si="1"/>
        <v>211.94281582506497</v>
      </c>
    </row>
    <row r="20" spans="2:15" ht="6" customHeight="1" x14ac:dyDescent="0.2">
      <c r="E20" s="17"/>
      <c r="F20" s="17"/>
      <c r="G20" s="17"/>
      <c r="H20" s="17"/>
      <c r="I20" s="17"/>
      <c r="J20" s="17"/>
      <c r="K20" s="17"/>
      <c r="L20" s="17"/>
      <c r="M20" s="17"/>
      <c r="N20" s="17"/>
      <c r="O20" s="6"/>
    </row>
    <row r="21" spans="2:15" ht="12" customHeight="1" x14ac:dyDescent="0.2">
      <c r="B21" t="s">
        <v>61</v>
      </c>
      <c r="E21" s="6">
        <f>Input!A18/Input!A$7</f>
        <v>27.796226210432899</v>
      </c>
      <c r="F21" s="6">
        <f>Input!B18/Input!B$7</f>
        <v>28.259515196033423</v>
      </c>
      <c r="G21" s="6">
        <f>Input!C18/Input!C$7</f>
        <v>18.964428427141677</v>
      </c>
      <c r="H21" s="6">
        <f>Input!D18/Input!D$7</f>
        <v>21.29667217630854</v>
      </c>
      <c r="I21" s="6">
        <f>Input!E18/Input!E$7</f>
        <v>19.267330578512396</v>
      </c>
      <c r="J21" s="6">
        <f>Input!F18/Input!F$7</f>
        <v>13.433808595562983</v>
      </c>
      <c r="K21" s="6">
        <f>Input!G18/Input!G$7</f>
        <v>22.507688666109718</v>
      </c>
      <c r="L21" s="6">
        <f>Input!H18/Input!H$7</f>
        <v>25.733071717266661</v>
      </c>
      <c r="M21" s="6">
        <f>Input!I18/Input!I$7</f>
        <v>20.68071009881092</v>
      </c>
      <c r="N21" s="6">
        <f>Input!J18/Input!J$7</f>
        <v>29.328560408260149</v>
      </c>
      <c r="O21" s="6">
        <f t="shared" si="1"/>
        <v>22.726801207443938</v>
      </c>
    </row>
    <row r="22" spans="2:15" ht="12" customHeight="1" x14ac:dyDescent="0.2">
      <c r="B22" t="s">
        <v>255</v>
      </c>
      <c r="E22" s="6">
        <f>Input!A19/Input!A$7</f>
        <v>20.08119120402327</v>
      </c>
      <c r="F22" s="6">
        <f>Input!B19/Input!B$7</f>
        <v>28.279485813974841</v>
      </c>
      <c r="G22" s="6">
        <f>Input!C19/Input!C$7</f>
        <v>24.827200440730877</v>
      </c>
      <c r="H22" s="6">
        <f>Input!D19/Input!D$7</f>
        <v>18.25130119375574</v>
      </c>
      <c r="I22" s="6">
        <f>Input!E19/Input!E$7</f>
        <v>21.98214416896235</v>
      </c>
      <c r="J22" s="6">
        <f>Input!F19/Input!F$7</f>
        <v>21.881549243479068</v>
      </c>
      <c r="K22" s="6">
        <f>Input!G19/Input!G$7</f>
        <v>17.51360066833751</v>
      </c>
      <c r="L22" s="6">
        <f>Input!H19/Input!H$7</f>
        <v>22.243050098693487</v>
      </c>
      <c r="M22" s="6">
        <f>Input!I19/Input!I$7</f>
        <v>20.500840730195947</v>
      </c>
      <c r="N22" s="6">
        <f>Input!J19/Input!J$7</f>
        <v>71.975855684785202</v>
      </c>
      <c r="O22" s="6">
        <f t="shared" si="1"/>
        <v>26.753621924693828</v>
      </c>
    </row>
    <row r="23" spans="2:15" ht="12" customHeight="1" x14ac:dyDescent="0.2">
      <c r="B23" t="s">
        <v>62</v>
      </c>
      <c r="E23" s="6">
        <f>Input!A20/Input!A$7</f>
        <v>0</v>
      </c>
      <c r="F23" s="6">
        <f>Input!B20/Input!B$7</f>
        <v>0</v>
      </c>
      <c r="G23" s="6">
        <f>Input!C20/Input!C$7</f>
        <v>0.42426774400881462</v>
      </c>
      <c r="H23" s="6">
        <f>Input!D20/Input!D$7</f>
        <v>0</v>
      </c>
      <c r="I23" s="6">
        <f>Input!E20/Input!E$7</f>
        <v>0</v>
      </c>
      <c r="J23" s="6">
        <f>Input!F20/Input!F$7</f>
        <v>0</v>
      </c>
      <c r="K23" s="6">
        <f>Input!G20/Input!G$7</f>
        <v>7.184906711222501E-2</v>
      </c>
      <c r="L23" s="6">
        <f>Input!H20/Input!H$7</f>
        <v>0.17046808910611899</v>
      </c>
      <c r="M23" s="6">
        <f>Input!I20/Input!I$7</f>
        <v>0.26606263607435943</v>
      </c>
      <c r="N23" s="6">
        <f>Input!J20/Input!J$7</f>
        <v>0</v>
      </c>
      <c r="O23" s="6">
        <f t="shared" si="1"/>
        <v>9.3264753630151812E-2</v>
      </c>
    </row>
    <row r="24" spans="2:15" ht="13.5" customHeight="1" x14ac:dyDescent="0.2">
      <c r="B24" s="4" t="s">
        <v>63</v>
      </c>
      <c r="E24" s="8">
        <f>SUM(E21:E23)</f>
        <v>47.877417414456168</v>
      </c>
      <c r="F24" s="8">
        <f t="shared" ref="F24:N24" si="4">SUM(F21:F23)</f>
        <v>56.539001010008263</v>
      </c>
      <c r="G24" s="8">
        <f t="shared" si="4"/>
        <v>44.215896611881369</v>
      </c>
      <c r="H24" s="8">
        <f t="shared" si="4"/>
        <v>39.547973370064284</v>
      </c>
      <c r="I24" s="8">
        <f t="shared" si="4"/>
        <v>41.24947474747475</v>
      </c>
      <c r="J24" s="8">
        <f t="shared" si="4"/>
        <v>35.315357839042051</v>
      </c>
      <c r="K24" s="8">
        <f t="shared" si="4"/>
        <v>40.093138401559457</v>
      </c>
      <c r="L24" s="8">
        <f t="shared" si="4"/>
        <v>48.146589905066264</v>
      </c>
      <c r="M24" s="8">
        <f t="shared" si="4"/>
        <v>41.447613465081226</v>
      </c>
      <c r="N24" s="8">
        <f t="shared" si="4"/>
        <v>101.30441609304535</v>
      </c>
      <c r="O24" s="8">
        <f t="shared" si="1"/>
        <v>49.573687885767924</v>
      </c>
    </row>
    <row r="25" spans="2:15" ht="6" customHeight="1" x14ac:dyDescent="0.2">
      <c r="E25" s="17"/>
      <c r="F25" s="17"/>
      <c r="G25" s="17"/>
      <c r="H25" s="17"/>
      <c r="I25" s="17"/>
      <c r="J25" s="17"/>
      <c r="K25" s="17"/>
      <c r="L25" s="17"/>
      <c r="M25" s="17"/>
      <c r="N25" s="17"/>
      <c r="O25" s="6"/>
    </row>
    <row r="26" spans="2:15" ht="12" customHeight="1" x14ac:dyDescent="0.2">
      <c r="B26" t="s">
        <v>64</v>
      </c>
      <c r="E26" s="6">
        <f>Input!A21/Input!A$7</f>
        <v>5.5443033231436738</v>
      </c>
      <c r="F26" s="6">
        <f>Input!B21/Input!B$7</f>
        <v>6.4247828482233036</v>
      </c>
      <c r="G26" s="6">
        <f>Input!C21/Input!C$7</f>
        <v>6.106515471490221</v>
      </c>
      <c r="H26" s="6">
        <f>Input!D21/Input!D$7</f>
        <v>6.0245739210284661</v>
      </c>
      <c r="I26" s="6">
        <f>Input!E21/Input!E$7</f>
        <v>5.3029577594123047</v>
      </c>
      <c r="J26" s="6">
        <f>Input!F21/Input!F$7</f>
        <v>6.007263529193354</v>
      </c>
      <c r="K26" s="6">
        <f>Input!G21/Input!G$7</f>
        <v>9.2048426622110835</v>
      </c>
      <c r="L26" s="6">
        <f>Input!H21/Input!H$7</f>
        <v>8.3640934298336305</v>
      </c>
      <c r="M26" s="6">
        <f>Input!I21/Input!I$7</f>
        <v>5.835873388042204</v>
      </c>
      <c r="N26" s="6">
        <f>Input!J21/Input!J$7</f>
        <v>8.7538488013292177</v>
      </c>
      <c r="O26" s="6">
        <f t="shared" si="1"/>
        <v>6.7569055133907456</v>
      </c>
    </row>
    <row r="27" spans="2:15" ht="12" customHeight="1" x14ac:dyDescent="0.2">
      <c r="B27" t="s">
        <v>65</v>
      </c>
      <c r="E27" s="6">
        <f>Input!A22/Input!A$7</f>
        <v>85.73291391381521</v>
      </c>
      <c r="F27" s="6">
        <f>Input!B22/Input!B$7</f>
        <v>107.16537691672023</v>
      </c>
      <c r="G27" s="6">
        <f>Input!C22/Input!C$7</f>
        <v>99.538231567349172</v>
      </c>
      <c r="H27" s="6">
        <f>Input!D22/Input!D$7</f>
        <v>99.982668503213958</v>
      </c>
      <c r="I27" s="6">
        <f>Input!E22/Input!E$7</f>
        <v>95.765392102846647</v>
      </c>
      <c r="J27" s="6">
        <f>Input!F22/Input!F$7</f>
        <v>95.5269572078344</v>
      </c>
      <c r="K27" s="6">
        <f>Input!G22/Input!G$7</f>
        <v>93.251146384479711</v>
      </c>
      <c r="L27" s="6">
        <f>Input!H22/Input!H$7</f>
        <v>94.433826487451825</v>
      </c>
      <c r="M27" s="6">
        <f>Input!I22/Input!I$7</f>
        <v>94.432502093451674</v>
      </c>
      <c r="N27" s="6">
        <f>Input!J22/Input!J$7</f>
        <v>101.36069546641347</v>
      </c>
      <c r="O27" s="6">
        <f t="shared" si="1"/>
        <v>96.718971064357646</v>
      </c>
    </row>
    <row r="28" spans="2:15" ht="12" customHeight="1" x14ac:dyDescent="0.2">
      <c r="B28" t="s">
        <v>66</v>
      </c>
      <c r="E28" s="6">
        <f>Input!A23/Input!A$7</f>
        <v>11.114601124149493</v>
      </c>
      <c r="F28" s="6">
        <f>Input!B23/Input!B$7</f>
        <v>12.418127811954824</v>
      </c>
      <c r="G28" s="6">
        <f>Input!C23/Input!C$7</f>
        <v>13.257237168304105</v>
      </c>
      <c r="H28" s="6">
        <f>Input!D23/Input!D$7</f>
        <v>13.106499540863178</v>
      </c>
      <c r="I28" s="6">
        <f>Input!E23/Input!E$7</f>
        <v>13.128371900826446</v>
      </c>
      <c r="J28" s="6">
        <f>Input!F23/Input!F$7</f>
        <v>13.325440452984314</v>
      </c>
      <c r="K28" s="6">
        <f>Input!G23/Input!G$7</f>
        <v>13.598127726724218</v>
      </c>
      <c r="L28" s="6">
        <f>Input!H23/Input!H$7</f>
        <v>12.429104239120218</v>
      </c>
      <c r="M28" s="6">
        <f>Input!I23/Input!I$7</f>
        <v>13.832324568748954</v>
      </c>
      <c r="N28" s="6">
        <f>Input!J23/Input!J$7</f>
        <v>18.475611203417991</v>
      </c>
      <c r="O28" s="6">
        <f t="shared" si="1"/>
        <v>13.468544573709375</v>
      </c>
    </row>
    <row r="29" spans="2:15" ht="13.5" customHeight="1" x14ac:dyDescent="0.2">
      <c r="B29" s="4" t="s">
        <v>15</v>
      </c>
      <c r="E29" s="8">
        <f>SUM(E26:E28)</f>
        <v>102.39181836110838</v>
      </c>
      <c r="F29" s="8">
        <f t="shared" ref="F29:N29" si="5">SUM(F26:F28)</f>
        <v>126.00828757689835</v>
      </c>
      <c r="G29" s="8">
        <f t="shared" si="5"/>
        <v>118.9019842071435</v>
      </c>
      <c r="H29" s="8">
        <f t="shared" si="5"/>
        <v>119.1137419651056</v>
      </c>
      <c r="I29" s="8">
        <f t="shared" si="5"/>
        <v>114.19672176308541</v>
      </c>
      <c r="J29" s="8">
        <f t="shared" si="5"/>
        <v>114.85966119001206</v>
      </c>
      <c r="K29" s="8">
        <f t="shared" si="5"/>
        <v>116.054116773415</v>
      </c>
      <c r="L29" s="8">
        <f t="shared" si="5"/>
        <v>115.22702415640568</v>
      </c>
      <c r="M29" s="8">
        <f t="shared" si="5"/>
        <v>114.10070005024284</v>
      </c>
      <c r="N29" s="8">
        <f t="shared" si="5"/>
        <v>128.59015547116067</v>
      </c>
      <c r="O29" s="8">
        <f t="shared" si="1"/>
        <v>116.94442115145776</v>
      </c>
    </row>
    <row r="30" spans="2:15" ht="3" customHeight="1" x14ac:dyDescent="0.2">
      <c r="E30" s="17"/>
      <c r="F30" s="17"/>
      <c r="G30" s="17"/>
      <c r="H30" s="17"/>
      <c r="I30" s="17"/>
      <c r="J30" s="17"/>
      <c r="K30" s="17"/>
      <c r="L30" s="17"/>
      <c r="M30" s="17"/>
      <c r="N30" s="17"/>
      <c r="O30" s="6"/>
    </row>
    <row r="31" spans="2:15" x14ac:dyDescent="0.2">
      <c r="B31" s="1" t="s">
        <v>67</v>
      </c>
      <c r="E31" s="7">
        <f>SUM(E13,E19,E24,E29)</f>
        <v>510.06497386845484</v>
      </c>
      <c r="F31" s="7">
        <f t="shared" ref="F31:N31" si="6">SUM(F13,F19,F24,F29)</f>
        <v>508.58096501698645</v>
      </c>
      <c r="G31" s="7">
        <f t="shared" si="6"/>
        <v>431.1402662749058</v>
      </c>
      <c r="H31" s="7">
        <f t="shared" si="6"/>
        <v>441.9503737373737</v>
      </c>
      <c r="I31" s="7">
        <f t="shared" si="6"/>
        <v>454.24103305785127</v>
      </c>
      <c r="J31" s="7">
        <f t="shared" si="6"/>
        <v>447.14336767845538</v>
      </c>
      <c r="K31" s="7">
        <f t="shared" si="6"/>
        <v>445.5342532256567</v>
      </c>
      <c r="L31" s="7">
        <f t="shared" si="6"/>
        <v>451.48060719992475</v>
      </c>
      <c r="M31" s="7">
        <f t="shared" si="6"/>
        <v>462.30637414168484</v>
      </c>
      <c r="N31" s="7">
        <f t="shared" si="6"/>
        <v>529.84326964158561</v>
      </c>
      <c r="O31" s="7">
        <f t="shared" si="1"/>
        <v>468.22854838428793</v>
      </c>
    </row>
    <row r="32" spans="2:15" ht="6" customHeight="1" x14ac:dyDescent="0.2">
      <c r="E32" s="17"/>
      <c r="F32" s="17"/>
      <c r="G32" s="17"/>
      <c r="H32" s="17"/>
      <c r="I32" s="17"/>
      <c r="J32" s="17"/>
      <c r="K32" s="17"/>
      <c r="L32" s="17"/>
      <c r="M32" s="17"/>
      <c r="N32" s="17"/>
      <c r="O32" s="6"/>
    </row>
    <row r="33" spans="2:15" ht="12" customHeight="1" x14ac:dyDescent="0.2">
      <c r="B33" t="s">
        <v>303</v>
      </c>
      <c r="E33" s="6">
        <f>(Input!A35+Input!A209)/Input!A$7</f>
        <v>514.69826447095943</v>
      </c>
      <c r="F33" s="6">
        <f>(Input!B35+Input!B209)/Input!B$7</f>
        <v>527.02433844458722</v>
      </c>
      <c r="G33" s="6">
        <f>(Input!C35+Input!C209)/Input!C$7</f>
        <v>484.74590212101737</v>
      </c>
      <c r="H33" s="6">
        <f>(Input!D35+Input!D209)/Input!D$7</f>
        <v>452.68973829201104</v>
      </c>
      <c r="I33" s="6">
        <f>(Input!E35+Input!E209)/Input!E$7</f>
        <v>435.96059412304868</v>
      </c>
      <c r="J33" s="6">
        <f>(Input!F35+Input!F209)/Input!F$7</f>
        <v>456.78018007982928</v>
      </c>
      <c r="K33" s="6">
        <f>(Input!G35+Input!G209)/Input!G$7</f>
        <v>477.14408892601881</v>
      </c>
      <c r="L33" s="6">
        <f>(Input!H35+Input!H209)/Input!H$7</f>
        <v>488.29236676379361</v>
      </c>
      <c r="M33" s="6">
        <f>(Input!I35+Input!I209)/Input!I$7</f>
        <v>536.63715960475645</v>
      </c>
      <c r="N33" s="6">
        <f>(Input!J35+Input!J209)/Input!J$7</f>
        <v>603.60608473771663</v>
      </c>
      <c r="O33" s="6">
        <f t="shared" si="1"/>
        <v>497.7578717563739</v>
      </c>
    </row>
    <row r="34" spans="2:15" ht="12" customHeight="1" x14ac:dyDescent="0.2">
      <c r="B34" t="s">
        <v>69</v>
      </c>
      <c r="E34" s="6">
        <f>Input!A28/Input!A$7</f>
        <v>0.10488117542648653</v>
      </c>
      <c r="F34" s="6">
        <f>Input!B28/Input!B$7</f>
        <v>0.39868148012120097</v>
      </c>
      <c r="G34" s="6">
        <f>Input!C28/Input!C$7</f>
        <v>0.18210448994582681</v>
      </c>
      <c r="H34" s="6">
        <f>Input!D28/Input!D$7</f>
        <v>0.96712488521579432</v>
      </c>
      <c r="I34" s="6">
        <f>Input!E28/Input!E$7</f>
        <v>0.42739944903581267</v>
      </c>
      <c r="J34" s="6">
        <f>Input!F28/Input!F$7</f>
        <v>1.0983115195395898</v>
      </c>
      <c r="K34" s="6">
        <f>Input!G28/Input!G$7</f>
        <v>0.81369256474519636</v>
      </c>
      <c r="L34" s="6">
        <f>Input!H28/Input!H$7</f>
        <v>0.6839665382084783</v>
      </c>
      <c r="M34" s="6">
        <f>Input!I28/Input!I$7</f>
        <v>1.1667626863171998</v>
      </c>
      <c r="N34" s="6">
        <f>Input!J28/Input!J$7</f>
        <v>0.41773320674103964</v>
      </c>
      <c r="O34" s="6">
        <f t="shared" si="1"/>
        <v>0.62606579952966257</v>
      </c>
    </row>
    <row r="35" spans="2:15" ht="12" customHeight="1" x14ac:dyDescent="0.2">
      <c r="B35" t="s">
        <v>75</v>
      </c>
      <c r="E35" s="6">
        <f>(Input!A29-Input!A203-Input!A207)/Input!A$7</f>
        <v>58.955744009466514</v>
      </c>
      <c r="F35" s="6">
        <f>(Input!B29-Input!B203-Input!B207)/Input!B$7</f>
        <v>67.253176016894685</v>
      </c>
      <c r="G35" s="6">
        <f>(Input!C29-Input!C203-Input!C207)/Input!C$7</f>
        <v>53.266240014691029</v>
      </c>
      <c r="H35" s="6">
        <f>(Input!D29-Input!D203-Input!D207)/Input!D$7</f>
        <v>45.710520661157034</v>
      </c>
      <c r="I35" s="6">
        <f>(Input!E29-Input!E203-Input!E207)/Input!E$7</f>
        <v>49.708033057851239</v>
      </c>
      <c r="J35" s="6">
        <f>(Input!F29-Input!F203-Input!F207)/Input!F$7</f>
        <v>39.963751972523895</v>
      </c>
      <c r="K35" s="6">
        <f>(Input!G29-Input!G203-Input!G207)/Input!G$7</f>
        <v>59.277642253782609</v>
      </c>
      <c r="L35" s="6">
        <f>(Input!H29-Input!H203-Input!H207)/Input!H$7</f>
        <v>40.563450512266186</v>
      </c>
      <c r="M35" s="6">
        <f>(Input!I29-Input!I203-Input!I207)/Input!I$7</f>
        <v>47.711234299112384</v>
      </c>
      <c r="N35" s="6">
        <f>(Input!J29-Input!J203-Input!J207)/Input!J$7</f>
        <v>62.244468312366472</v>
      </c>
      <c r="O35" s="6">
        <f t="shared" si="1"/>
        <v>52.465426111011212</v>
      </c>
    </row>
    <row r="36" spans="2:15" ht="13.5" customHeight="1" x14ac:dyDescent="0.2">
      <c r="B36" s="1" t="s">
        <v>71</v>
      </c>
      <c r="E36" s="7">
        <f>SUM(E33:E35)</f>
        <v>573.7588896558525</v>
      </c>
      <c r="F36" s="7">
        <f t="shared" ref="F36:N36" si="7">SUM(F33:F35)</f>
        <v>594.67619594160317</v>
      </c>
      <c r="G36" s="7">
        <f t="shared" si="7"/>
        <v>538.19424662565416</v>
      </c>
      <c r="H36" s="7">
        <f t="shared" si="7"/>
        <v>499.36738383838389</v>
      </c>
      <c r="I36" s="7">
        <f t="shared" si="7"/>
        <v>486.09602662993575</v>
      </c>
      <c r="J36" s="7">
        <f t="shared" si="7"/>
        <v>497.84224357189277</v>
      </c>
      <c r="K36" s="7">
        <f t="shared" si="7"/>
        <v>537.23542374454667</v>
      </c>
      <c r="L36" s="7">
        <f t="shared" si="7"/>
        <v>529.53978381426828</v>
      </c>
      <c r="M36" s="7">
        <f t="shared" si="7"/>
        <v>585.51515659018594</v>
      </c>
      <c r="N36" s="7">
        <f t="shared" si="7"/>
        <v>666.26828625682413</v>
      </c>
      <c r="O36" s="7">
        <f t="shared" si="1"/>
        <v>550.84936366691477</v>
      </c>
    </row>
    <row r="37" spans="2:15" ht="6" customHeight="1" x14ac:dyDescent="0.2">
      <c r="E37" s="17"/>
      <c r="F37" s="17"/>
      <c r="G37" s="17"/>
      <c r="H37" s="17"/>
      <c r="I37" s="17"/>
      <c r="J37" s="17"/>
      <c r="K37" s="17"/>
      <c r="L37" s="17"/>
      <c r="M37" s="17"/>
      <c r="N37" s="17"/>
      <c r="O37" s="6"/>
    </row>
    <row r="38" spans="2:15" ht="13.5" customHeight="1" x14ac:dyDescent="0.2">
      <c r="B38" s="9" t="s">
        <v>73</v>
      </c>
      <c r="C38" s="10"/>
      <c r="D38" s="10"/>
      <c r="E38" s="11">
        <f>E36-E31</f>
        <v>63.693915787397657</v>
      </c>
      <c r="F38" s="11">
        <f t="shared" ref="F38:N38" si="8">F36-F31</f>
        <v>86.095230924616715</v>
      </c>
      <c r="G38" s="11">
        <f t="shared" si="8"/>
        <v>107.05398035074836</v>
      </c>
      <c r="H38" s="11">
        <f t="shared" si="8"/>
        <v>57.417010101010192</v>
      </c>
      <c r="I38" s="11">
        <f t="shared" si="8"/>
        <v>31.854993572084481</v>
      </c>
      <c r="J38" s="11">
        <f t="shared" si="8"/>
        <v>50.698875893437389</v>
      </c>
      <c r="K38" s="11">
        <f t="shared" si="8"/>
        <v>91.701170518889967</v>
      </c>
      <c r="L38" s="11">
        <f t="shared" si="8"/>
        <v>78.059176614343528</v>
      </c>
      <c r="M38" s="11">
        <f t="shared" si="8"/>
        <v>123.2087824485011</v>
      </c>
      <c r="N38" s="11">
        <f t="shared" si="8"/>
        <v>136.42501661523852</v>
      </c>
      <c r="O38" s="11">
        <f t="shared" si="1"/>
        <v>82.620815282626793</v>
      </c>
    </row>
    <row r="39" spans="2:15" ht="6" customHeight="1" x14ac:dyDescent="0.2">
      <c r="E39" s="17"/>
      <c r="F39" s="17"/>
      <c r="G39" s="17"/>
      <c r="H39" s="17"/>
      <c r="I39" s="17"/>
      <c r="J39" s="17"/>
      <c r="K39" s="17"/>
      <c r="L39" s="17"/>
      <c r="M39" s="17"/>
      <c r="N39" s="17"/>
      <c r="O39" s="6"/>
    </row>
    <row r="40" spans="2:15" ht="13.5" customHeight="1" x14ac:dyDescent="0.2">
      <c r="B40" s="4" t="s">
        <v>70</v>
      </c>
      <c r="E40" s="8">
        <f>(Input!A25 + Input!A26) / Input!A$7</f>
        <v>14.564027216250862</v>
      </c>
      <c r="F40" s="8">
        <f>(Input!B25 + Input!B26) / Input!B$7</f>
        <v>15.853744376090351</v>
      </c>
      <c r="G40" s="8">
        <f>(Input!C25 + Input!C26) / Input!C$7</f>
        <v>14.705435680837388</v>
      </c>
      <c r="H40" s="8">
        <f>(Input!D25 + Input!D26) / Input!D$7</f>
        <v>14.798665748393022</v>
      </c>
      <c r="I40" s="8">
        <f>(Input!E25 + Input!E26) / Input!E$7</f>
        <v>14.716725436179983</v>
      </c>
      <c r="J40" s="8">
        <f>(Input!F25 + Input!F26) / Input!F$7</f>
        <v>15.743215446022464</v>
      </c>
      <c r="K40" s="8">
        <f>(Input!G25 + Input!G26) / Input!G$7</f>
        <v>15.963287849252762</v>
      </c>
      <c r="L40" s="8">
        <f>(Input!H25 + Input!H26) / Input!H$7</f>
        <v>16.489242410000937</v>
      </c>
      <c r="M40" s="8">
        <f>(Input!I25 + Input!I26) / Input!I$7</f>
        <v>18.323830179199465</v>
      </c>
      <c r="N40" s="8">
        <f>(Input!J25 + Input!J26) / Input!J$7</f>
        <v>21.971731545217185</v>
      </c>
      <c r="O40" s="8">
        <f t="shared" si="1"/>
        <v>16.312990588744441</v>
      </c>
    </row>
    <row r="41" spans="2:15" ht="6" customHeight="1" x14ac:dyDescent="0.2">
      <c r="E41" s="17"/>
      <c r="F41" s="17"/>
      <c r="G41" s="17"/>
      <c r="H41" s="17"/>
      <c r="I41" s="17"/>
      <c r="J41" s="17"/>
      <c r="K41" s="17"/>
      <c r="L41" s="17"/>
      <c r="M41" s="17"/>
      <c r="N41" s="17"/>
      <c r="O41" s="6"/>
    </row>
    <row r="42" spans="2:15" x14ac:dyDescent="0.2">
      <c r="B42" s="9" t="s">
        <v>74</v>
      </c>
      <c r="C42" s="10"/>
      <c r="D42" s="10"/>
      <c r="E42" s="11">
        <f>+E38-E40</f>
        <v>49.129888571146793</v>
      </c>
      <c r="F42" s="11">
        <f t="shared" ref="F42:N42" si="9">+F38-F40</f>
        <v>70.241486548526368</v>
      </c>
      <c r="G42" s="11">
        <f t="shared" si="9"/>
        <v>92.348544669910979</v>
      </c>
      <c r="H42" s="11">
        <f t="shared" si="9"/>
        <v>42.618344352617171</v>
      </c>
      <c r="I42" s="11">
        <f t="shared" si="9"/>
        <v>17.138268135904497</v>
      </c>
      <c r="J42" s="11">
        <f t="shared" si="9"/>
        <v>34.955660447414928</v>
      </c>
      <c r="K42" s="11">
        <f t="shared" si="9"/>
        <v>75.737882669637202</v>
      </c>
      <c r="L42" s="11">
        <f t="shared" si="9"/>
        <v>61.569934204342587</v>
      </c>
      <c r="M42" s="11">
        <f t="shared" si="9"/>
        <v>104.88495226930164</v>
      </c>
      <c r="N42" s="11">
        <f t="shared" si="9"/>
        <v>114.45328507002134</v>
      </c>
      <c r="O42" s="11">
        <f t="shared" si="1"/>
        <v>66.307824693882338</v>
      </c>
    </row>
  </sheetData>
  <mergeCells count="3">
    <mergeCell ref="D1:M1"/>
    <mergeCell ref="D2:M2"/>
    <mergeCell ref="D3:M3"/>
  </mergeCells>
  <phoneticPr fontId="0" type="noConversion"/>
  <pageMargins left="0.78740157480314965" right="0.78740157480314965" top="0.78740157480314965" bottom="0.78740157480314965" header="0.43307086614173229" footer="0.43307086614173229"/>
  <pageSetup paperSize="9" orientation="landscape" horizontalDpi="0" r:id="rId1"/>
  <headerFooter alignWithMargins="0">
    <oddFooter>&amp;L&amp;8BOKU / HVLFÖ&amp;C&amp;8DVR-Nr: 0890723&amp;R&amp;8&amp;D</oddFooter>
  </headerFooter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dimension ref="A1:O41"/>
  <sheetViews>
    <sheetView workbookViewId="0">
      <selection activeCell="D2" sqref="D2:M2"/>
    </sheetView>
  </sheetViews>
  <sheetFormatPr baseColWidth="10" defaultRowHeight="12.75" x14ac:dyDescent="0.2"/>
  <cols>
    <col min="1" max="1" width="0.7109375" customWidth="1"/>
    <col min="2" max="2" width="10.28515625" customWidth="1"/>
    <col min="3" max="3" width="8.7109375" customWidth="1"/>
    <col min="4" max="4" width="9.7109375" customWidth="1"/>
    <col min="5" max="14" width="8.7109375" customWidth="1"/>
    <col min="15" max="15" width="10.7109375" customWidth="1"/>
  </cols>
  <sheetData>
    <row r="1" spans="1:15" ht="15.75" customHeight="1" x14ac:dyDescent="0.25">
      <c r="A1" t="s">
        <v>48</v>
      </c>
      <c r="C1" s="12">
        <f>Input!A3</f>
        <v>2024</v>
      </c>
      <c r="D1" s="36" t="s">
        <v>14</v>
      </c>
      <c r="E1" s="36"/>
      <c r="F1" s="36"/>
      <c r="G1" s="36"/>
      <c r="H1" s="36"/>
      <c r="I1" s="36"/>
      <c r="J1" s="36"/>
      <c r="K1" s="36"/>
      <c r="L1" s="36"/>
      <c r="M1" s="36"/>
      <c r="O1" s="3" t="s">
        <v>251</v>
      </c>
    </row>
    <row r="2" spans="1:15" ht="15.75" customHeight="1" x14ac:dyDescent="0.2">
      <c r="D2" s="37" t="str">
        <f>Kenndat!D2</f>
        <v>Produktionsgebiet 1: Alpenvorland</v>
      </c>
      <c r="E2" s="37"/>
      <c r="F2" s="37"/>
      <c r="G2" s="37"/>
      <c r="H2" s="37"/>
      <c r="I2" s="37"/>
      <c r="J2" s="37"/>
      <c r="K2" s="37"/>
      <c r="L2" s="37"/>
      <c r="M2" s="37"/>
    </row>
    <row r="3" spans="1:15" ht="15.75" customHeight="1" x14ac:dyDescent="0.2">
      <c r="D3" s="38" t="s">
        <v>168</v>
      </c>
      <c r="E3" s="38"/>
      <c r="F3" s="38"/>
      <c r="G3" s="38"/>
      <c r="H3" s="38"/>
      <c r="I3" s="38"/>
      <c r="J3" s="38"/>
      <c r="K3" s="38"/>
      <c r="L3" s="38"/>
      <c r="M3" s="38"/>
    </row>
    <row r="4" spans="1:15" ht="3.75" customHeight="1" x14ac:dyDescent="0.2"/>
    <row r="5" spans="1:15" x14ac:dyDescent="0.2">
      <c r="B5" t="s">
        <v>119</v>
      </c>
      <c r="E5" s="3">
        <f>Input!A3</f>
        <v>2024</v>
      </c>
      <c r="F5" s="3">
        <f>+E5-1</f>
        <v>2023</v>
      </c>
      <c r="G5" s="3">
        <f t="shared" ref="G5:N5" si="0">+F5-1</f>
        <v>2022</v>
      </c>
      <c r="H5" s="3">
        <f t="shared" si="0"/>
        <v>2021</v>
      </c>
      <c r="I5" s="3">
        <f t="shared" si="0"/>
        <v>2020</v>
      </c>
      <c r="J5" s="3">
        <f t="shared" si="0"/>
        <v>2019</v>
      </c>
      <c r="K5" s="3">
        <f t="shared" si="0"/>
        <v>2018</v>
      </c>
      <c r="L5" s="3">
        <f t="shared" si="0"/>
        <v>2017</v>
      </c>
      <c r="M5" s="3">
        <f t="shared" si="0"/>
        <v>2016</v>
      </c>
      <c r="N5" s="3">
        <f t="shared" si="0"/>
        <v>2015</v>
      </c>
      <c r="O5" s="3" t="s">
        <v>16</v>
      </c>
    </row>
    <row r="6" spans="1:15" ht="7.5" customHeight="1" x14ac:dyDescent="0.2"/>
    <row r="7" spans="1:15" ht="12" customHeight="1" x14ac:dyDescent="0.2">
      <c r="B7" t="s">
        <v>120</v>
      </c>
      <c r="E7" s="6">
        <f>Input!A37/Input!A$6</f>
        <v>5.8159570898680988</v>
      </c>
      <c r="F7" s="6">
        <f>Input!B37/Input!B$6</f>
        <v>5.7881537225418596</v>
      </c>
      <c r="G7" s="6">
        <f>Input!C37/Input!C$6</f>
        <v>4.915585282602148</v>
      </c>
      <c r="H7" s="6">
        <f>Input!D37/Input!D$6</f>
        <v>5.3613036537552841</v>
      </c>
      <c r="I7" s="6">
        <f>Input!E37/Input!E$6</f>
        <v>6.3173580321431091</v>
      </c>
      <c r="J7" s="6">
        <f>Input!F37/Input!F$6</f>
        <v>5.5541260576375349</v>
      </c>
      <c r="K7" s="6">
        <f>Input!G37/Input!G$6</f>
        <v>5.3934620622910581</v>
      </c>
      <c r="L7" s="6">
        <f>Input!H37/Input!H$6</f>
        <v>5.3815983881799863</v>
      </c>
      <c r="M7" s="6">
        <f>Input!I37/Input!I$6</f>
        <v>6.3373368552509746</v>
      </c>
      <c r="N7" s="6">
        <f>Input!J37/Input!J$6</f>
        <v>6.2043997068104453</v>
      </c>
      <c r="O7" s="6">
        <f>AVERAGE(E7:N7)</f>
        <v>5.7069280851080508</v>
      </c>
    </row>
    <row r="8" spans="1:15" ht="12" customHeight="1" x14ac:dyDescent="0.2">
      <c r="B8" t="s">
        <v>121</v>
      </c>
      <c r="E8" s="6">
        <f>Input!A38/Input!A$6</f>
        <v>5.2752849645237259</v>
      </c>
      <c r="F8" s="6">
        <f>Input!B38/Input!B$6</f>
        <v>4.9382893094394307</v>
      </c>
      <c r="G8" s="6">
        <f>Input!C38/Input!C$6</f>
        <v>4.0806612036944081</v>
      </c>
      <c r="H8" s="6">
        <f>Input!D38/Input!D$6</f>
        <v>4.2141239799241408</v>
      </c>
      <c r="I8" s="6">
        <f>Input!E38/Input!E$6</f>
        <v>5.3124153997031547</v>
      </c>
      <c r="J8" s="6">
        <f>Input!F38/Input!F$6</f>
        <v>4.7944709211036054</v>
      </c>
      <c r="K8" s="6">
        <f>Input!G38/Input!G$6</f>
        <v>4.4208752205074244</v>
      </c>
      <c r="L8" s="6">
        <f>Input!H38/Input!H$6</f>
        <v>4.9299323524024663</v>
      </c>
      <c r="M8" s="6">
        <f>Input!I38/Input!I$6</f>
        <v>4.8356479116993638</v>
      </c>
      <c r="N8" s="6">
        <f>Input!J38/Input!J$6</f>
        <v>5.3373124704946955</v>
      </c>
      <c r="O8" s="6">
        <f t="shared" ref="O8:O40" si="1">AVERAGE(E8:N8)</f>
        <v>4.8139013733492408</v>
      </c>
    </row>
    <row r="9" spans="1:15" ht="12" customHeight="1" x14ac:dyDescent="0.2">
      <c r="B9" t="s">
        <v>122</v>
      </c>
      <c r="E9" s="6">
        <f>Input!A39/Input!A$6</f>
        <v>2.3166853923937636E-2</v>
      </c>
      <c r="F9" s="6">
        <f>Input!B39/Input!B$6</f>
        <v>0.10456605018867382</v>
      </c>
      <c r="G9" s="6">
        <f>Input!C39/Input!C$6</f>
        <v>0.10472806445136031</v>
      </c>
      <c r="H9" s="6">
        <f>Input!D39/Input!D$6</f>
        <v>9.9975607575699524E-2</v>
      </c>
      <c r="I9" s="6">
        <f>Input!E39/Input!E$6</f>
        <v>0.10377105329410513</v>
      </c>
      <c r="J9" s="6">
        <f>Input!F39/Input!F$6</f>
        <v>6.6105336671606674E-2</v>
      </c>
      <c r="K9" s="6">
        <f>Input!G39/Input!G$6</f>
        <v>5.4354035494804963E-2</v>
      </c>
      <c r="L9" s="6">
        <f>Input!H39/Input!H$6</f>
        <v>5.3595579705720743E-2</v>
      </c>
      <c r="M9" s="6">
        <f>Input!I39/Input!I$6</f>
        <v>7.5329774107830663E-2</v>
      </c>
      <c r="N9" s="6">
        <f>Input!J39/Input!J$6</f>
        <v>0.34688535791487562</v>
      </c>
      <c r="O9" s="6">
        <f t="shared" si="1"/>
        <v>0.10324777133286152</v>
      </c>
    </row>
    <row r="10" spans="1:15" ht="13.5" customHeight="1" x14ac:dyDescent="0.2">
      <c r="B10" s="4" t="s">
        <v>123</v>
      </c>
      <c r="E10" s="8">
        <f>SUM(E7:E9)</f>
        <v>11.114408908315761</v>
      </c>
      <c r="F10" s="8">
        <f t="shared" ref="F10:N10" si="2">SUM(F7:F9)</f>
        <v>10.831009082169963</v>
      </c>
      <c r="G10" s="8">
        <f t="shared" si="2"/>
        <v>9.1009745507479156</v>
      </c>
      <c r="H10" s="8">
        <f t="shared" si="2"/>
        <v>9.6754032412551236</v>
      </c>
      <c r="I10" s="8">
        <f t="shared" si="2"/>
        <v>11.733544485140369</v>
      </c>
      <c r="J10" s="8">
        <f t="shared" si="2"/>
        <v>10.414702315412747</v>
      </c>
      <c r="K10" s="8">
        <f t="shared" si="2"/>
        <v>9.8686913182932887</v>
      </c>
      <c r="L10" s="8">
        <f t="shared" si="2"/>
        <v>10.365126320288173</v>
      </c>
      <c r="M10" s="8">
        <f t="shared" si="2"/>
        <v>11.24831454105817</v>
      </c>
      <c r="N10" s="8">
        <f t="shared" si="2"/>
        <v>11.888597535220015</v>
      </c>
      <c r="O10" s="8">
        <f t="shared" si="1"/>
        <v>10.624077229790151</v>
      </c>
    </row>
    <row r="11" spans="1:15" ht="3" customHeight="1" x14ac:dyDescent="0.2">
      <c r="O11" s="6"/>
    </row>
    <row r="12" spans="1:15" ht="12" customHeight="1" x14ac:dyDescent="0.2">
      <c r="B12" t="s">
        <v>124</v>
      </c>
      <c r="E12" s="6">
        <f>Input!A40/Input!A$6</f>
        <v>7.0693030951318239</v>
      </c>
      <c r="F12" s="6">
        <f>Input!B40/Input!B$6</f>
        <v>7.4191843264415978</v>
      </c>
      <c r="G12" s="6">
        <f>Input!C40/Input!C$6</f>
        <v>5.9551753087039456</v>
      </c>
      <c r="H12" s="6">
        <f>Input!D40/Input!D$6</f>
        <v>6.8594103674188736</v>
      </c>
      <c r="I12" s="6">
        <f>Input!E40/Input!E$6</f>
        <v>6.787604140661128</v>
      </c>
      <c r="J12" s="6">
        <f>Input!F40/Input!F$6</f>
        <v>6.1449857414029569</v>
      </c>
      <c r="K12" s="6">
        <f>Input!G40/Input!G$6</f>
        <v>5.9730369549164921</v>
      </c>
      <c r="L12" s="6">
        <f>Input!H40/Input!H$6</f>
        <v>6.2758296599303991</v>
      </c>
      <c r="M12" s="6">
        <f>Input!I40/Input!I$6</f>
        <v>5.3449116687827436</v>
      </c>
      <c r="N12" s="6">
        <f>Input!J40/Input!J$6</f>
        <v>5.5907776977166002</v>
      </c>
      <c r="O12" s="6">
        <f t="shared" si="1"/>
        <v>6.3420218961106567</v>
      </c>
    </row>
    <row r="13" spans="1:15" ht="12" customHeight="1" x14ac:dyDescent="0.2">
      <c r="B13" t="s">
        <v>125</v>
      </c>
      <c r="E13" s="6">
        <f>Input!A41/Input!A$6</f>
        <v>1.8372644021362721</v>
      </c>
      <c r="F13" s="6">
        <f>Input!B41/Input!B$6</f>
        <v>1.9422302251172934</v>
      </c>
      <c r="G13" s="6">
        <f>Input!C41/Input!C$6</f>
        <v>1.6208988806344744</v>
      </c>
      <c r="H13" s="6">
        <f>Input!D41/Input!D$6</f>
        <v>1.8972035554193327</v>
      </c>
      <c r="I13" s="6">
        <f>Input!E41/Input!E$6</f>
        <v>1.8975076291691815</v>
      </c>
      <c r="J13" s="6">
        <f>Input!F41/Input!F$6</f>
        <v>1.7147936104084527</v>
      </c>
      <c r="K13" s="6">
        <f>Input!G41/Input!G$6</f>
        <v>1.7174178608731958</v>
      </c>
      <c r="L13" s="6">
        <f>Input!H41/Input!H$6</f>
        <v>1.8032066670736917</v>
      </c>
      <c r="M13" s="6">
        <f>Input!I41/Input!I$6</f>
        <v>1.5525831776354206</v>
      </c>
      <c r="N13" s="6">
        <f>Input!J41/Input!J$6</f>
        <v>1.4992221780505379</v>
      </c>
      <c r="O13" s="6">
        <f t="shared" si="1"/>
        <v>1.7482328186517855</v>
      </c>
    </row>
    <row r="14" spans="1:15" ht="12" customHeight="1" x14ac:dyDescent="0.2">
      <c r="B14" t="s">
        <v>126</v>
      </c>
      <c r="E14" s="6">
        <f>Input!A42/Input!A$6</f>
        <v>0</v>
      </c>
      <c r="F14" s="6">
        <f>Input!B42/Input!B$6</f>
        <v>0</v>
      </c>
      <c r="G14" s="6">
        <f>Input!C42/Input!C$6</f>
        <v>0</v>
      </c>
      <c r="H14" s="6">
        <f>Input!D42/Input!D$6</f>
        <v>0</v>
      </c>
      <c r="I14" s="6">
        <f>Input!E42/Input!E$6</f>
        <v>5.6019222240832091E-2</v>
      </c>
      <c r="J14" s="6">
        <f>Input!F42/Input!F$6</f>
        <v>4.9135636851668857E-2</v>
      </c>
      <c r="K14" s="6">
        <f>Input!G42/Input!G$6</f>
        <v>0.18650663487147473</v>
      </c>
      <c r="L14" s="6">
        <f>Input!H42/Input!H$6</f>
        <v>0.18746419195311068</v>
      </c>
      <c r="M14" s="6">
        <f>Input!I42/Input!I$6</f>
        <v>0</v>
      </c>
      <c r="N14" s="6">
        <f>Input!J42/Input!J$6</f>
        <v>0</v>
      </c>
      <c r="O14" s="6">
        <f t="shared" si="1"/>
        <v>4.7912568591708636E-2</v>
      </c>
    </row>
    <row r="15" spans="1:15" ht="13.5" customHeight="1" x14ac:dyDescent="0.2">
      <c r="B15" s="4" t="s">
        <v>130</v>
      </c>
      <c r="E15" s="8">
        <f>SUM(E12:E14)</f>
        <v>8.9065674972680959</v>
      </c>
      <c r="F15" s="8">
        <f t="shared" ref="F15:N15" si="3">SUM(F12:F14)</f>
        <v>9.3614145515588909</v>
      </c>
      <c r="G15" s="8">
        <f t="shared" si="3"/>
        <v>7.5760741893384198</v>
      </c>
      <c r="H15" s="8">
        <f t="shared" si="3"/>
        <v>8.7566139228382056</v>
      </c>
      <c r="I15" s="8">
        <f t="shared" si="3"/>
        <v>8.7411309920711417</v>
      </c>
      <c r="J15" s="8">
        <f t="shared" si="3"/>
        <v>7.9089149886630787</v>
      </c>
      <c r="K15" s="8">
        <f t="shared" si="3"/>
        <v>7.8769614506611632</v>
      </c>
      <c r="L15" s="8">
        <f t="shared" si="3"/>
        <v>8.2665005189572014</v>
      </c>
      <c r="M15" s="8">
        <f t="shared" si="3"/>
        <v>6.897494846418164</v>
      </c>
      <c r="N15" s="8">
        <f t="shared" si="3"/>
        <v>7.0899998757671376</v>
      </c>
      <c r="O15" s="8">
        <f t="shared" si="1"/>
        <v>8.1381672833541501</v>
      </c>
    </row>
    <row r="16" spans="1:15" ht="3" customHeight="1" x14ac:dyDescent="0.2">
      <c r="O16" s="6"/>
    </row>
    <row r="17" spans="2:15" ht="12" customHeight="1" x14ac:dyDescent="0.2">
      <c r="B17" t="s">
        <v>127</v>
      </c>
      <c r="E17" s="6">
        <f>Input!A43/Input!A$6</f>
        <v>2.1319862096563189</v>
      </c>
      <c r="F17" s="6">
        <f>Input!B43/Input!B$6</f>
        <v>1.8534957028279553</v>
      </c>
      <c r="G17" s="6">
        <f>Input!C43/Input!C$6</f>
        <v>1.6025696466218251</v>
      </c>
      <c r="H17" s="6">
        <f>Input!D43/Input!D$6</f>
        <v>1.22894371863147</v>
      </c>
      <c r="I17" s="6">
        <f>Input!E43/Input!E$6</f>
        <v>1.2832385019966985</v>
      </c>
      <c r="J17" s="6">
        <f>Input!F43/Input!F$6</f>
        <v>1.424315507980523</v>
      </c>
      <c r="K17" s="6">
        <f>Input!G43/Input!G$6</f>
        <v>1.4544680989281569</v>
      </c>
      <c r="L17" s="6">
        <f>Input!H43/Input!H$6</f>
        <v>1.5302631418279504</v>
      </c>
      <c r="M17" s="6">
        <f>Input!I43/Input!I$6</f>
        <v>0.77130141957801468</v>
      </c>
      <c r="N17" s="6">
        <f>Input!J43/Input!J$6</f>
        <v>0.97147315327850514</v>
      </c>
      <c r="O17" s="6">
        <f t="shared" si="1"/>
        <v>1.4252055101327419</v>
      </c>
    </row>
    <row r="18" spans="2:15" ht="12" customHeight="1" x14ac:dyDescent="0.2">
      <c r="B18" t="s">
        <v>128</v>
      </c>
      <c r="E18" s="6">
        <f>Input!A44/Input!A$6</f>
        <v>3.7213841134009509</v>
      </c>
      <c r="F18" s="6">
        <f>Input!B44/Input!B$6</f>
        <v>3.8223655250584669</v>
      </c>
      <c r="G18" s="6">
        <f>Input!C44/Input!C$6</f>
        <v>3.083809858447947</v>
      </c>
      <c r="H18" s="6">
        <f>Input!D44/Input!D$6</f>
        <v>2.9867878625340025</v>
      </c>
      <c r="I18" s="6">
        <f>Input!E44/Input!E$6</f>
        <v>3.831438155010392</v>
      </c>
      <c r="J18" s="6">
        <f>Input!F44/Input!F$6</f>
        <v>2.5406825902853423</v>
      </c>
      <c r="K18" s="6">
        <f>Input!G44/Input!G$6</f>
        <v>2.3047506554616906</v>
      </c>
      <c r="L18" s="6">
        <f>Input!H44/Input!H$6</f>
        <v>2.2905073569815007</v>
      </c>
      <c r="M18" s="6">
        <f>Input!I44/Input!I$6</f>
        <v>2.743330716928817</v>
      </c>
      <c r="N18" s="6">
        <f>Input!J44/Input!J$6</f>
        <v>4.412137053693443</v>
      </c>
      <c r="O18" s="6">
        <f t="shared" si="1"/>
        <v>3.1737193887802553</v>
      </c>
    </row>
    <row r="19" spans="2:15" ht="13.5" customHeight="1" x14ac:dyDescent="0.2">
      <c r="B19" s="4" t="s">
        <v>129</v>
      </c>
      <c r="E19" s="8">
        <f>SUM(E17:E18)</f>
        <v>5.8533703230572698</v>
      </c>
      <c r="F19" s="8">
        <f t="shared" ref="F19:N19" si="4">SUM(F17:F18)</f>
        <v>5.675861227886422</v>
      </c>
      <c r="G19" s="8">
        <f t="shared" si="4"/>
        <v>4.6863795050697723</v>
      </c>
      <c r="H19" s="8">
        <f t="shared" si="4"/>
        <v>4.215731581165473</v>
      </c>
      <c r="I19" s="8">
        <f t="shared" si="4"/>
        <v>5.1146766570070907</v>
      </c>
      <c r="J19" s="8">
        <f t="shared" si="4"/>
        <v>3.9649980982658652</v>
      </c>
      <c r="K19" s="8">
        <f t="shared" si="4"/>
        <v>3.7592187543898472</v>
      </c>
      <c r="L19" s="8">
        <f t="shared" si="4"/>
        <v>3.8207704988094511</v>
      </c>
      <c r="M19" s="8">
        <f t="shared" si="4"/>
        <v>3.5146321365068318</v>
      </c>
      <c r="N19" s="8">
        <f t="shared" si="4"/>
        <v>5.383610206971948</v>
      </c>
      <c r="O19" s="8">
        <f t="shared" si="1"/>
        <v>4.5989248989129976</v>
      </c>
    </row>
    <row r="20" spans="2:15" ht="3" customHeight="1" x14ac:dyDescent="0.2">
      <c r="O20" s="6"/>
    </row>
    <row r="21" spans="2:15" ht="12" customHeight="1" x14ac:dyDescent="0.2">
      <c r="B21" t="s">
        <v>131</v>
      </c>
      <c r="E21" s="6">
        <f>Input!A45/Input!A$6</f>
        <v>39.752889200129289</v>
      </c>
      <c r="F21" s="6">
        <f>Input!B45/Input!B$6</f>
        <v>34.045872706142298</v>
      </c>
      <c r="G21" s="6">
        <f>Input!C45/Input!C$6</f>
        <v>26.452745833751631</v>
      </c>
      <c r="H21" s="6">
        <f>Input!D45/Input!D$6</f>
        <v>28.505491743611355</v>
      </c>
      <c r="I21" s="6">
        <f>Input!E45/Input!E$6</f>
        <v>26.127948830580301</v>
      </c>
      <c r="J21" s="6">
        <f>Input!F45/Input!F$6</f>
        <v>23.681350954306062</v>
      </c>
      <c r="K21" s="6">
        <f>Input!G45/Input!G$6</f>
        <v>23.941071928363137</v>
      </c>
      <c r="L21" s="6">
        <f>Input!H45/Input!H$6</f>
        <v>23.238610171561145</v>
      </c>
      <c r="M21" s="6">
        <f>Input!I45/Input!I$6</f>
        <v>24.174769927339124</v>
      </c>
      <c r="N21" s="6">
        <f>Input!J45/Input!J$6</f>
        <v>22.872999850920564</v>
      </c>
      <c r="O21" s="6">
        <f t="shared" si="1"/>
        <v>27.279375114670483</v>
      </c>
    </row>
    <row r="22" spans="2:15" ht="12" customHeight="1" x14ac:dyDescent="0.2">
      <c r="B22" t="s">
        <v>132</v>
      </c>
      <c r="E22" s="6">
        <f>Input!A46/Input!A$6</f>
        <v>4.4459310790636106</v>
      </c>
      <c r="F22" s="6">
        <f>Input!B46/Input!B$6</f>
        <v>5.1880231573812363</v>
      </c>
      <c r="G22" s="6">
        <f>Input!C46/Input!C$6</f>
        <v>2.9894999247063545</v>
      </c>
      <c r="H22" s="6">
        <f>Input!D46/Input!D$6</f>
        <v>2.8053524130620793</v>
      </c>
      <c r="I22" s="6">
        <f>Input!E46/Input!E$6</f>
        <v>2.9017184196638213</v>
      </c>
      <c r="J22" s="6">
        <f>Input!F46/Input!F$6</f>
        <v>2.559657135265323</v>
      </c>
      <c r="K22" s="6">
        <f>Input!G46/Input!G$6</f>
        <v>3.1958775706503952</v>
      </c>
      <c r="L22" s="6">
        <f>Input!H46/Input!H$6</f>
        <v>3.5360004884303073</v>
      </c>
      <c r="M22" s="6">
        <f>Input!I46/Input!I$6</f>
        <v>2.8312034219492137</v>
      </c>
      <c r="N22" s="6">
        <f>Input!J46/Input!J$6</f>
        <v>5.3544199567669635</v>
      </c>
      <c r="O22" s="6">
        <f t="shared" si="1"/>
        <v>3.5807683566939303</v>
      </c>
    </row>
    <row r="23" spans="2:15" ht="12" customHeight="1" x14ac:dyDescent="0.2">
      <c r="B23" t="s">
        <v>133</v>
      </c>
      <c r="E23" s="6">
        <f>Input!A47/Input!A$6</f>
        <v>0.54873378172471643</v>
      </c>
      <c r="F23" s="6">
        <f>Input!B47/Input!B$6</f>
        <v>0.45400103304302908</v>
      </c>
      <c r="G23" s="6">
        <f>Input!C47/Input!C$6</f>
        <v>0.549794197369742</v>
      </c>
      <c r="H23" s="6">
        <f>Input!D47/Input!D$6</f>
        <v>0.32587908509252522</v>
      </c>
      <c r="I23" s="6">
        <f>Input!E47/Input!E$6</f>
        <v>0.27095598730455683</v>
      </c>
      <c r="J23" s="6">
        <f>Input!F47/Input!F$6</f>
        <v>0.17876077477883157</v>
      </c>
      <c r="K23" s="6">
        <f>Input!G47/Input!G$6</f>
        <v>0.1828343660724944</v>
      </c>
      <c r="L23" s="6">
        <f>Input!H47/Input!H$6</f>
        <v>0.10054606508333841</v>
      </c>
      <c r="M23" s="6">
        <f>Input!I47/Input!I$6</f>
        <v>0.20269298965164512</v>
      </c>
      <c r="N23" s="6">
        <f>Input!J47/Input!J$6</f>
        <v>0.14163987377941212</v>
      </c>
      <c r="O23" s="6">
        <f t="shared" si="1"/>
        <v>0.29558381539002909</v>
      </c>
    </row>
    <row r="24" spans="2:15" ht="12" customHeight="1" x14ac:dyDescent="0.2">
      <c r="B24" t="s">
        <v>134</v>
      </c>
      <c r="E24" s="6">
        <f>Input!A48/Input!A$6</f>
        <v>0.39257953303679988</v>
      </c>
      <c r="F24" s="6">
        <f>Input!B48/Input!B$6</f>
        <v>0.54789015309123779</v>
      </c>
      <c r="G24" s="6">
        <f>Input!C48/Input!C$6</f>
        <v>0.650055340829234</v>
      </c>
      <c r="H24" s="6">
        <f>Input!D48/Input!D$6</f>
        <v>0.75962989923757718</v>
      </c>
      <c r="I24" s="6">
        <f>Input!E48/Input!E$6</f>
        <v>0.80151098105269369</v>
      </c>
      <c r="J24" s="6">
        <f>Input!F48/Input!F$6</f>
        <v>0.34605235853243738</v>
      </c>
      <c r="K24" s="6">
        <f>Input!G48/Input!G$6</f>
        <v>0.99872718864695409</v>
      </c>
      <c r="L24" s="6">
        <f>Input!H48/Input!H$6</f>
        <v>1.0866779412662557</v>
      </c>
      <c r="M24" s="6">
        <f>Input!I48/Input!I$6</f>
        <v>4.2526593813704647E-2</v>
      </c>
      <c r="N24" s="6">
        <f>Input!J48/Input!J$6</f>
        <v>0.1345147464407285</v>
      </c>
      <c r="O24" s="6">
        <f t="shared" si="1"/>
        <v>0.57601647359476227</v>
      </c>
    </row>
    <row r="25" spans="2:15" ht="12" customHeight="1" x14ac:dyDescent="0.2">
      <c r="B25" t="s">
        <v>135</v>
      </c>
      <c r="E25" s="6">
        <f>Input!A49/Input!A$6</f>
        <v>1.2446620904067842</v>
      </c>
      <c r="F25" s="6">
        <f>Input!B49/Input!B$6</f>
        <v>3.4659610887125702</v>
      </c>
      <c r="G25" s="6">
        <f>Input!C49/Input!C$6</f>
        <v>3.4264881788977011</v>
      </c>
      <c r="H25" s="6">
        <f>Input!D49/Input!D$6</f>
        <v>3.2490000383127087</v>
      </c>
      <c r="I25" s="6">
        <f>Input!E49/Input!E$6</f>
        <v>3.0619798233888154</v>
      </c>
      <c r="J25" s="6">
        <f>Input!F49/Input!F$6</f>
        <v>2.5436082627555803</v>
      </c>
      <c r="K25" s="6">
        <f>Input!G49/Input!G$6</f>
        <v>2.4878807898424506</v>
      </c>
      <c r="L25" s="6">
        <f>Input!H49/Input!H$6</f>
        <v>2.546238964527749</v>
      </c>
      <c r="M25" s="6">
        <f>Input!I49/Input!I$6</f>
        <v>3.2605410485991766</v>
      </c>
      <c r="N25" s="6">
        <f>Input!J49/Input!J$6</f>
        <v>1.7014235843665368</v>
      </c>
      <c r="O25" s="6">
        <f t="shared" si="1"/>
        <v>2.6987783869810071</v>
      </c>
    </row>
    <row r="26" spans="2:15" ht="14.25" customHeight="1" x14ac:dyDescent="0.2">
      <c r="B26" s="4" t="s">
        <v>136</v>
      </c>
      <c r="E26" s="8">
        <f>SUM(E21:E25)</f>
        <v>46.384795684361201</v>
      </c>
      <c r="F26" s="8">
        <f t="shared" ref="F26:N26" si="5">SUM(F21:F25)</f>
        <v>43.70174813837037</v>
      </c>
      <c r="G26" s="8">
        <f t="shared" si="5"/>
        <v>34.068583475554661</v>
      </c>
      <c r="H26" s="8">
        <f t="shared" si="5"/>
        <v>35.645353179316238</v>
      </c>
      <c r="I26" s="8">
        <f t="shared" si="5"/>
        <v>33.164114041990189</v>
      </c>
      <c r="J26" s="8">
        <f t="shared" si="5"/>
        <v>29.30942948563823</v>
      </c>
      <c r="K26" s="8">
        <f t="shared" si="5"/>
        <v>30.80639184357543</v>
      </c>
      <c r="L26" s="8">
        <f t="shared" si="5"/>
        <v>30.508073630868797</v>
      </c>
      <c r="M26" s="8">
        <f t="shared" si="5"/>
        <v>30.511733981352865</v>
      </c>
      <c r="N26" s="8">
        <f t="shared" si="5"/>
        <v>30.204998012274206</v>
      </c>
      <c r="O26" s="8">
        <f t="shared" si="1"/>
        <v>34.430522147330215</v>
      </c>
    </row>
    <row r="27" spans="2:15" ht="3" customHeight="1" x14ac:dyDescent="0.2">
      <c r="B27" s="4"/>
      <c r="E27" s="8"/>
      <c r="F27" s="8"/>
      <c r="G27" s="8"/>
      <c r="H27" s="8"/>
      <c r="I27" s="8"/>
      <c r="J27" s="8"/>
      <c r="K27" s="8"/>
      <c r="L27" s="8"/>
      <c r="M27" s="8"/>
      <c r="N27" s="8"/>
      <c r="O27" s="6"/>
    </row>
    <row r="28" spans="2:15" ht="12" customHeight="1" x14ac:dyDescent="0.2">
      <c r="B28" t="s">
        <v>137</v>
      </c>
      <c r="E28" s="6">
        <f>Input!A50/Input!A$6</f>
        <v>2.3556914410601326</v>
      </c>
      <c r="F28" s="6">
        <f>Input!B50/Input!B$6</f>
        <v>2.4869063230842072</v>
      </c>
      <c r="G28" s="6">
        <f>Input!C50/Input!C$6</f>
        <v>2.1736349262122276</v>
      </c>
      <c r="H28" s="6">
        <f>Input!D50/Input!D$6</f>
        <v>1.7522301827516187</v>
      </c>
      <c r="I28" s="6">
        <f>Input!E50/Input!E$6</f>
        <v>1.8314725218235848</v>
      </c>
      <c r="J28" s="6">
        <f>Input!F50/Input!F$6</f>
        <v>1.6252748990493679</v>
      </c>
      <c r="K28" s="6">
        <f>Input!G50/Input!G$6</f>
        <v>1.6862995970556887</v>
      </c>
      <c r="L28" s="6">
        <f>Input!H50/Input!H$6</f>
        <v>1.5877603028267904</v>
      </c>
      <c r="M28" s="6">
        <f>Input!I50/Input!I$6</f>
        <v>1.7345846584385494</v>
      </c>
      <c r="N28" s="6">
        <f>Input!J50/Input!J$6</f>
        <v>1.9405907272591747</v>
      </c>
      <c r="O28" s="6">
        <f t="shared" si="1"/>
        <v>1.9174445579561339</v>
      </c>
    </row>
    <row r="29" spans="2:15" ht="12" customHeight="1" x14ac:dyDescent="0.2">
      <c r="B29" t="s">
        <v>138</v>
      </c>
      <c r="E29" s="6">
        <f>Input!A51/Input!A$6</f>
        <v>0.19947624397826788</v>
      </c>
      <c r="F29" s="6">
        <f>Input!B51/Input!B$6</f>
        <v>0.21355969410448081</v>
      </c>
      <c r="G29" s="6">
        <f>Input!C51/Input!C$6</f>
        <v>0.14121461198674834</v>
      </c>
      <c r="H29" s="6">
        <f>Input!D51/Input!D$6</f>
        <v>0.1341261509776126</v>
      </c>
      <c r="I29" s="6">
        <f>Input!E51/Input!E$6</f>
        <v>0.17417337938749647</v>
      </c>
      <c r="J29" s="6">
        <f>Input!F51/Input!F$6</f>
        <v>0.18451676847459758</v>
      </c>
      <c r="K29" s="6">
        <f>Input!G51/Input!G$6</f>
        <v>0.17783997144502198</v>
      </c>
      <c r="L29" s="6">
        <f>Input!H51/Input!H$6</f>
        <v>0.22245301910983578</v>
      </c>
      <c r="M29" s="6">
        <f>Input!I51/Input!I$6</f>
        <v>6.8409651141672578E-2</v>
      </c>
      <c r="N29" s="6">
        <f>Input!J51/Input!J$6</f>
        <v>4.5181007280045718E-2</v>
      </c>
      <c r="O29" s="6">
        <f t="shared" si="1"/>
        <v>0.15609504978857797</v>
      </c>
    </row>
    <row r="30" spans="2:15" ht="13.5" customHeight="1" x14ac:dyDescent="0.2">
      <c r="B30" s="4" t="s">
        <v>139</v>
      </c>
      <c r="E30" s="8">
        <f>SUM(E28:E29)</f>
        <v>2.5551676850384006</v>
      </c>
      <c r="F30" s="8">
        <f t="shared" ref="F30:N30" si="6">SUM(F28:F29)</f>
        <v>2.7004660171886878</v>
      </c>
      <c r="G30" s="8">
        <f t="shared" si="6"/>
        <v>2.3148495381989758</v>
      </c>
      <c r="H30" s="8">
        <f t="shared" si="6"/>
        <v>1.8863563337292313</v>
      </c>
      <c r="I30" s="8">
        <f t="shared" si="6"/>
        <v>2.0056459012110812</v>
      </c>
      <c r="J30" s="8">
        <f t="shared" si="6"/>
        <v>1.8097916675239656</v>
      </c>
      <c r="K30" s="8">
        <f t="shared" si="6"/>
        <v>1.8641395685007107</v>
      </c>
      <c r="L30" s="8">
        <f t="shared" si="6"/>
        <v>1.8102133219366261</v>
      </c>
      <c r="M30" s="8">
        <f t="shared" si="6"/>
        <v>1.8029943095802219</v>
      </c>
      <c r="N30" s="8">
        <f t="shared" si="6"/>
        <v>1.9857717345392205</v>
      </c>
      <c r="O30" s="8">
        <f t="shared" si="1"/>
        <v>2.0735396077447126</v>
      </c>
    </row>
    <row r="31" spans="2:15" ht="3" customHeight="1" x14ac:dyDescent="0.2">
      <c r="B31" s="4"/>
      <c r="E31" s="8"/>
      <c r="F31" s="8"/>
      <c r="G31" s="8"/>
      <c r="H31" s="8"/>
      <c r="I31" s="8"/>
      <c r="J31" s="8"/>
      <c r="K31" s="8"/>
      <c r="L31" s="8"/>
      <c r="M31" s="8"/>
      <c r="N31" s="8"/>
      <c r="O31" s="6"/>
    </row>
    <row r="32" spans="2:15" ht="12" customHeight="1" x14ac:dyDescent="0.2">
      <c r="B32" t="s">
        <v>140</v>
      </c>
      <c r="E32" s="6">
        <f>Input!A52/Input!A$6</f>
        <v>4.4091083988733779E-2</v>
      </c>
      <c r="F32" s="6">
        <f>Input!B52/Input!B$6</f>
        <v>3.95435958506105E-2</v>
      </c>
      <c r="G32" s="6">
        <f>Input!C52/Input!C$6</f>
        <v>4.4666700130508989E-2</v>
      </c>
      <c r="H32" s="6">
        <f>Input!D52/Input!D$6</f>
        <v>0.11143557718095091</v>
      </c>
      <c r="I32" s="6">
        <f>Input!E52/Input!E$6</f>
        <v>0.21303658314345997</v>
      </c>
      <c r="J32" s="6">
        <f>Input!F52/Input!F$6</f>
        <v>0.21442743105993317</v>
      </c>
      <c r="K32" s="6">
        <f>Input!G52/Input!G$6</f>
        <v>9.047925964747025E-2</v>
      </c>
      <c r="L32" s="6">
        <f>Input!H52/Input!H$6</f>
        <v>8.6375114475853221E-2</v>
      </c>
      <c r="M32" s="6">
        <f>Input!I52/Input!I$6</f>
        <v>7.8932964637347822E-2</v>
      </c>
      <c r="N32" s="6">
        <f>Input!J52/Input!J$6</f>
        <v>5.5854970556811684E-2</v>
      </c>
      <c r="O32" s="6">
        <f t="shared" si="1"/>
        <v>9.7884328067168028E-2</v>
      </c>
    </row>
    <row r="33" spans="2:15" ht="12" customHeight="1" x14ac:dyDescent="0.2">
      <c r="B33" t="s">
        <v>141</v>
      </c>
      <c r="E33" s="6">
        <f>Input!A53/Input!A$6</f>
        <v>0.72407538515998948</v>
      </c>
      <c r="F33" s="6">
        <f>Input!B53/Input!B$6</f>
        <v>0.56714277515531519</v>
      </c>
      <c r="G33" s="6">
        <f>Input!C53/Input!C$6</f>
        <v>0.41171104808754144</v>
      </c>
      <c r="H33" s="6">
        <f>Input!D53/Input!D$6</f>
        <v>0.38223401402245122</v>
      </c>
      <c r="I33" s="6">
        <f>Input!E53/Input!E$6</f>
        <v>0.45432795367616924</v>
      </c>
      <c r="J33" s="6">
        <f>Input!F53/Input!F$6</f>
        <v>0.42061056541171804</v>
      </c>
      <c r="K33" s="6">
        <f>Input!G53/Input!G$6</f>
        <v>0.43056349967761842</v>
      </c>
      <c r="L33" s="6">
        <f>Input!H53/Input!H$6</f>
        <v>0.4243874473411075</v>
      </c>
      <c r="M33" s="6">
        <f>Input!I53/Input!I$6</f>
        <v>0.33528956899225709</v>
      </c>
      <c r="N33" s="6">
        <f>Input!J53/Input!J$6</f>
        <v>0.36144371009019305</v>
      </c>
      <c r="O33" s="6">
        <f t="shared" si="1"/>
        <v>0.45117859676143618</v>
      </c>
    </row>
    <row r="34" spans="2:15" ht="12" customHeight="1" x14ac:dyDescent="0.2">
      <c r="B34" t="s">
        <v>142</v>
      </c>
      <c r="E34" s="6">
        <f>Input!A54/Input!A$6</f>
        <v>0.16305034398904161</v>
      </c>
      <c r="F34" s="6">
        <f>Input!B54/Input!B$6</f>
        <v>0.14356988105657345</v>
      </c>
      <c r="G34" s="6">
        <f>Input!C54/Input!C$6</f>
        <v>0.13794172271860253</v>
      </c>
      <c r="H34" s="6">
        <f>Input!D54/Input!D$6</f>
        <v>0.12958583962300294</v>
      </c>
      <c r="I34" s="6">
        <f>Input!E54/Input!E$6</f>
        <v>0.13132849722484694</v>
      </c>
      <c r="J34" s="6">
        <f>Input!F54/Input!F$6</f>
        <v>0.11027894648043977</v>
      </c>
      <c r="K34" s="6">
        <f>Input!G54/Input!G$6</f>
        <v>0.1120965444659497</v>
      </c>
      <c r="L34" s="6">
        <f>Input!H54/Input!H$6</f>
        <v>0.12414420904817144</v>
      </c>
      <c r="M34" s="6">
        <f>Input!I54/Input!I$6</f>
        <v>0.11702838303080332</v>
      </c>
      <c r="N34" s="6">
        <f>Input!J54/Input!J$6</f>
        <v>0.18853454915894352</v>
      </c>
      <c r="O34" s="6">
        <f t="shared" si="1"/>
        <v>0.13575589167963753</v>
      </c>
    </row>
    <row r="35" spans="2:15" ht="12" customHeight="1" x14ac:dyDescent="0.2">
      <c r="B35" t="s">
        <v>143</v>
      </c>
      <c r="E35" s="6">
        <f>Input!A55/Input!A$6</f>
        <v>1.2272496267680419</v>
      </c>
      <c r="F35" s="6">
        <f>Input!B55/Input!B$6</f>
        <v>1.2361628190596439</v>
      </c>
      <c r="G35" s="6">
        <f>Input!C55/Input!C$6</f>
        <v>1.008100592310009</v>
      </c>
      <c r="H35" s="6">
        <f>Input!D55/Input!D$6</f>
        <v>0.94089204755884193</v>
      </c>
      <c r="I35" s="6">
        <f>Input!E55/Input!E$6</f>
        <v>0.98798320266043904</v>
      </c>
      <c r="J35" s="6">
        <f>Input!F55/Input!F$6</f>
        <v>0.81935677296586462</v>
      </c>
      <c r="K35" s="6">
        <f>Input!G55/Input!G$6</f>
        <v>0.81886544225304547</v>
      </c>
      <c r="L35" s="6">
        <f>Input!H55/Input!H$6</f>
        <v>0.92471567250747899</v>
      </c>
      <c r="M35" s="6">
        <f>Input!I55/Input!I$6</f>
        <v>0.88885447042148802</v>
      </c>
      <c r="N35" s="6">
        <f>Input!J55/Input!J$6</f>
        <v>0.88592118667229847</v>
      </c>
      <c r="O35" s="6">
        <f t="shared" si="1"/>
        <v>0.97381018331771529</v>
      </c>
    </row>
    <row r="36" spans="2:15" ht="13.5" customHeight="1" x14ac:dyDescent="0.2">
      <c r="B36" s="4" t="s">
        <v>144</v>
      </c>
      <c r="E36" s="8">
        <f>SUM(E32:E35)</f>
        <v>2.1584664399058067</v>
      </c>
      <c r="F36" s="8">
        <f t="shared" ref="F36:N36" si="7">SUM(F32:F35)</f>
        <v>1.986419071122143</v>
      </c>
      <c r="G36" s="8">
        <f t="shared" si="7"/>
        <v>1.6024200632466621</v>
      </c>
      <c r="H36" s="8">
        <f t="shared" si="7"/>
        <v>1.5641474783852471</v>
      </c>
      <c r="I36" s="8">
        <f t="shared" si="7"/>
        <v>1.7866762367049152</v>
      </c>
      <c r="J36" s="8">
        <f t="shared" si="7"/>
        <v>1.5646737159179556</v>
      </c>
      <c r="K36" s="8">
        <f t="shared" si="7"/>
        <v>1.4520047460440839</v>
      </c>
      <c r="L36" s="8">
        <f t="shared" si="7"/>
        <v>1.5596224433726111</v>
      </c>
      <c r="M36" s="8">
        <f t="shared" si="7"/>
        <v>1.4201053870818963</v>
      </c>
      <c r="N36" s="8">
        <f t="shared" si="7"/>
        <v>1.4917544164782468</v>
      </c>
      <c r="O36" s="8">
        <f t="shared" si="1"/>
        <v>1.6586289998259567</v>
      </c>
    </row>
    <row r="37" spans="2:15" ht="6" customHeight="1" x14ac:dyDescent="0.2">
      <c r="B37" s="4"/>
      <c r="E37" s="8"/>
      <c r="F37" s="8"/>
      <c r="G37" s="8"/>
      <c r="H37" s="8"/>
      <c r="I37" s="8"/>
      <c r="J37" s="8"/>
      <c r="K37" s="8"/>
      <c r="L37" s="8"/>
      <c r="M37" s="8"/>
      <c r="N37" s="8"/>
      <c r="O37" s="6"/>
    </row>
    <row r="38" spans="2:15" ht="13.5" customHeight="1" x14ac:dyDescent="0.2">
      <c r="B38" s="4" t="s">
        <v>145</v>
      </c>
      <c r="E38" s="8">
        <f>Input!A56/Input!A$6</f>
        <v>3.145718375325135</v>
      </c>
      <c r="F38" s="8">
        <f>Input!B56/Input!B$6</f>
        <v>3.2207006040432158</v>
      </c>
      <c r="G38" s="8">
        <f>Input!C56/Input!C$6</f>
        <v>2.2935214837867686</v>
      </c>
      <c r="H38" s="8">
        <f>Input!D56/Input!D$6</f>
        <v>2.1533540221958289</v>
      </c>
      <c r="I38" s="8">
        <f>Input!E56/Input!E$6</f>
        <v>2.0585655265838492</v>
      </c>
      <c r="J38" s="8">
        <f>Input!F56/Input!F$6</f>
        <v>2.3040566605078308</v>
      </c>
      <c r="K38" s="8">
        <f>Input!G56/Input!G$6</f>
        <v>2.3056884603060555</v>
      </c>
      <c r="L38" s="8">
        <f>Input!H56/Input!H$6</f>
        <v>2.4228580499419987</v>
      </c>
      <c r="M38" s="8">
        <f>Input!I56/Input!I$6</f>
        <v>1.7726313963133036</v>
      </c>
      <c r="N38" s="8">
        <f>Input!J56/Input!J$6</f>
        <v>2.0270852485899571</v>
      </c>
      <c r="O38" s="8">
        <f t="shared" si="1"/>
        <v>2.3704179827593945</v>
      </c>
    </row>
    <row r="39" spans="2:15" ht="6" customHeight="1" x14ac:dyDescent="0.2">
      <c r="B39" s="4"/>
      <c r="E39" s="8"/>
      <c r="F39" s="8"/>
      <c r="G39" s="8"/>
      <c r="H39" s="8"/>
      <c r="I39" s="8"/>
      <c r="J39" s="8"/>
      <c r="K39" s="8"/>
      <c r="L39" s="8"/>
      <c r="M39" s="8"/>
      <c r="N39" s="8"/>
      <c r="O39" s="6"/>
    </row>
    <row r="40" spans="2:15" x14ac:dyDescent="0.2">
      <c r="B40" s="9" t="s">
        <v>67</v>
      </c>
      <c r="C40" s="10"/>
      <c r="D40" s="10"/>
      <c r="E40" s="11">
        <f>SUM(E10,E15,E19,E26,E30,E36,E38)</f>
        <v>80.118494913271675</v>
      </c>
      <c r="F40" s="11">
        <f t="shared" ref="F40:N40" si="8">SUM(F10,F15,F19,F26,F30,F36,F38)</f>
        <v>77.477618692339689</v>
      </c>
      <c r="G40" s="11">
        <f t="shared" si="8"/>
        <v>61.642802805943177</v>
      </c>
      <c r="H40" s="11">
        <f t="shared" si="8"/>
        <v>63.896959758885345</v>
      </c>
      <c r="I40" s="11">
        <f t="shared" si="8"/>
        <v>64.60435384070864</v>
      </c>
      <c r="J40" s="11">
        <f t="shared" si="8"/>
        <v>57.276566931929679</v>
      </c>
      <c r="K40" s="11">
        <f t="shared" si="8"/>
        <v>57.933096141770584</v>
      </c>
      <c r="L40" s="11">
        <f t="shared" si="8"/>
        <v>58.753164784174864</v>
      </c>
      <c r="M40" s="11">
        <f t="shared" si="8"/>
        <v>57.167906598311447</v>
      </c>
      <c r="N40" s="11">
        <f t="shared" si="8"/>
        <v>60.071817029840723</v>
      </c>
      <c r="O40" s="11">
        <f t="shared" si="1"/>
        <v>63.894278149717593</v>
      </c>
    </row>
    <row r="41" spans="2:15" x14ac:dyDescent="0.2">
      <c r="F41" s="6"/>
      <c r="G41" s="6"/>
      <c r="H41" s="6"/>
      <c r="K41" s="6"/>
      <c r="M41" s="6"/>
    </row>
  </sheetData>
  <mergeCells count="3">
    <mergeCell ref="D1:M1"/>
    <mergeCell ref="D2:M2"/>
    <mergeCell ref="D3:M3"/>
  </mergeCells>
  <phoneticPr fontId="0" type="noConversion"/>
  <printOptions horizontalCentered="1"/>
  <pageMargins left="0.78740157480314965" right="0.78740157480314965" top="0.78740157480314965" bottom="0.78740157480314965" header="0.43307086614173229" footer="0.43307086614173229"/>
  <pageSetup paperSize="9" orientation="landscape" horizontalDpi="0" r:id="rId1"/>
  <headerFooter alignWithMargins="0">
    <oddFooter>&amp;L&amp;8BOKU / HVLFÖ&amp;C&amp;8DVR-Nr: 0890723&amp;R&amp;8&amp;D</oddFooter>
  </headerFooter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dimension ref="A1:O40"/>
  <sheetViews>
    <sheetView workbookViewId="0">
      <selection activeCell="D2" sqref="D2:M2"/>
    </sheetView>
  </sheetViews>
  <sheetFormatPr baseColWidth="10" defaultRowHeight="12.75" x14ac:dyDescent="0.2"/>
  <cols>
    <col min="1" max="1" width="0.85546875" customWidth="1"/>
    <col min="2" max="2" width="10.28515625" customWidth="1"/>
    <col min="3" max="3" width="8.7109375" customWidth="1"/>
    <col min="4" max="4" width="9.7109375" customWidth="1"/>
    <col min="5" max="5" width="8.42578125" customWidth="1"/>
    <col min="6" max="14" width="8.7109375" customWidth="1"/>
    <col min="15" max="15" width="10.7109375" customWidth="1"/>
  </cols>
  <sheetData>
    <row r="1" spans="1:15" ht="15.75" customHeight="1" x14ac:dyDescent="0.25">
      <c r="A1" t="s">
        <v>48</v>
      </c>
      <c r="C1" s="12">
        <f>Input!A3</f>
        <v>2024</v>
      </c>
      <c r="D1" s="36" t="s">
        <v>14</v>
      </c>
      <c r="E1" s="36"/>
      <c r="F1" s="36"/>
      <c r="G1" s="36"/>
      <c r="H1" s="36"/>
      <c r="I1" s="36"/>
      <c r="J1" s="36"/>
      <c r="K1" s="36"/>
      <c r="L1" s="36"/>
      <c r="M1" s="36"/>
      <c r="O1" s="3" t="s">
        <v>250</v>
      </c>
    </row>
    <row r="2" spans="1:15" ht="15.75" customHeight="1" x14ac:dyDescent="0.2">
      <c r="D2" s="37" t="str">
        <f>Kenndat!D2</f>
        <v>Produktionsgebiet 1: Alpenvorland</v>
      </c>
      <c r="E2" s="37"/>
      <c r="F2" s="37"/>
      <c r="G2" s="37"/>
      <c r="H2" s="37"/>
      <c r="I2" s="37"/>
      <c r="J2" s="37"/>
      <c r="K2" s="37"/>
      <c r="L2" s="37"/>
      <c r="M2" s="37"/>
    </row>
    <row r="3" spans="1:15" ht="15.75" customHeight="1" x14ac:dyDescent="0.2">
      <c r="D3" s="38" t="s">
        <v>170</v>
      </c>
      <c r="E3" s="38"/>
      <c r="F3" s="38"/>
      <c r="G3" s="38"/>
      <c r="H3" s="38"/>
      <c r="I3" s="38"/>
      <c r="J3" s="38"/>
      <c r="K3" s="38"/>
      <c r="L3" s="38"/>
      <c r="M3" s="38"/>
    </row>
    <row r="4" spans="1:15" ht="3.75" customHeight="1" x14ac:dyDescent="0.2"/>
    <row r="5" spans="1:15" x14ac:dyDescent="0.2">
      <c r="B5" t="s">
        <v>119</v>
      </c>
      <c r="E5" s="3">
        <f>Input!A3</f>
        <v>2024</v>
      </c>
      <c r="F5" s="3">
        <f>+E5-1</f>
        <v>2023</v>
      </c>
      <c r="G5" s="3">
        <f t="shared" ref="G5:N5" si="0">+F5-1</f>
        <v>2022</v>
      </c>
      <c r="H5" s="3">
        <f t="shared" si="0"/>
        <v>2021</v>
      </c>
      <c r="I5" s="3">
        <f t="shared" si="0"/>
        <v>2020</v>
      </c>
      <c r="J5" s="3">
        <f t="shared" si="0"/>
        <v>2019</v>
      </c>
      <c r="K5" s="3">
        <f t="shared" si="0"/>
        <v>2018</v>
      </c>
      <c r="L5" s="3">
        <f t="shared" si="0"/>
        <v>2017</v>
      </c>
      <c r="M5" s="3">
        <f t="shared" si="0"/>
        <v>2016</v>
      </c>
      <c r="N5" s="3">
        <f t="shared" si="0"/>
        <v>2015</v>
      </c>
      <c r="O5" s="3" t="s">
        <v>16</v>
      </c>
    </row>
    <row r="6" spans="1:15" ht="7.5" customHeight="1" x14ac:dyDescent="0.2"/>
    <row r="7" spans="1:15" ht="12" customHeight="1" x14ac:dyDescent="0.2">
      <c r="B7" t="s">
        <v>120</v>
      </c>
      <c r="E7" s="6">
        <f>(Input!A37-Input!A57+Input!A77)/Input!A$5</f>
        <v>6.0779339393939393</v>
      </c>
      <c r="F7" s="6">
        <f>(Input!B37-Input!B57+Input!B77)/Input!B$5</f>
        <v>6.0405512396694219</v>
      </c>
      <c r="G7" s="6">
        <f>(Input!C37-Input!C57+Input!C77)/Input!C$5</f>
        <v>5.0976608815426987</v>
      </c>
      <c r="H7" s="6">
        <f>(Input!D37-Input!D57+Input!D77)/Input!D$5</f>
        <v>5.5240768595041319</v>
      </c>
      <c r="I7" s="6">
        <f>(Input!E37-Input!E57+Input!E77)/Input!E$5</f>
        <v>6.1467166237113409</v>
      </c>
      <c r="J7" s="6">
        <f>(Input!F37-Input!F57+Input!F77)/Input!F$5</f>
        <v>5.9335307213930344</v>
      </c>
      <c r="K7" s="6">
        <f>(Input!G37-Input!G57+Input!G77)/Input!G$5</f>
        <v>5.3922355036855034</v>
      </c>
      <c r="L7" s="6">
        <f>(Input!H37-Input!H57+Input!H77)/Input!H$5</f>
        <v>5.288399757281554</v>
      </c>
      <c r="M7" s="6">
        <f>(Input!I37-Input!I57+Input!I77)/Input!I$5</f>
        <v>6.32401498973306</v>
      </c>
      <c r="N7" s="6">
        <f>(Input!J37-Input!J57+Input!J77)/Input!J$5</f>
        <v>6.4873107714701606</v>
      </c>
      <c r="O7" s="6">
        <f>AVERAGE(E7:N7)</f>
        <v>5.8312431287384845</v>
      </c>
    </row>
    <row r="8" spans="1:15" ht="12" customHeight="1" x14ac:dyDescent="0.2">
      <c r="B8" t="s">
        <v>121</v>
      </c>
      <c r="E8" s="6">
        <f>(Input!A38-Input!A58+Input!A78)/Input!A$5</f>
        <v>5.553777575757576</v>
      </c>
      <c r="F8" s="6">
        <f>(Input!B38-Input!B58+Input!B78)/Input!B$5</f>
        <v>5.1172780991735536</v>
      </c>
      <c r="G8" s="6">
        <f>(Input!C38-Input!C58+Input!C78)/Input!C$5</f>
        <v>4.2391088154269969</v>
      </c>
      <c r="H8" s="6">
        <f>(Input!D38-Input!D58+Input!D78)/Input!D$5</f>
        <v>4.3522409090909084</v>
      </c>
      <c r="I8" s="6">
        <f>(Input!E38-Input!E58+Input!E78)/Input!E$5</f>
        <v>5.1706597938144325</v>
      </c>
      <c r="J8" s="6">
        <f>(Input!F38-Input!F58+Input!F78)/Input!F$5</f>
        <v>5.0445358208955229</v>
      </c>
      <c r="K8" s="6">
        <f>(Input!G38-Input!G58+Input!G78)/Input!G$5</f>
        <v>4.4594649877149868</v>
      </c>
      <c r="L8" s="6">
        <f>(Input!H38-Input!H58+Input!H78)/Input!H$5</f>
        <v>4.8876065533980588</v>
      </c>
      <c r="M8" s="6">
        <f>(Input!I38-Input!I58+Input!I78)/Input!I$5</f>
        <v>4.8395839835728953</v>
      </c>
      <c r="N8" s="6">
        <f>(Input!J38-Input!J58+Input!J78)/Input!J$5</f>
        <v>5.6316538573508002</v>
      </c>
      <c r="O8" s="6">
        <f t="shared" ref="O8:O40" si="1">AVERAGE(E8:N8)</f>
        <v>4.9295910396195719</v>
      </c>
    </row>
    <row r="9" spans="1:15" ht="12" customHeight="1" x14ac:dyDescent="0.2">
      <c r="B9" t="s">
        <v>122</v>
      </c>
      <c r="E9" s="6">
        <f>(Input!A39-Input!A59+Input!A79)/Input!A$5</f>
        <v>2.6006363636363636E-2</v>
      </c>
      <c r="F9" s="6">
        <f>(Input!B39-Input!B59+Input!B79)/Input!B$5</f>
        <v>0.10662011019283746</v>
      </c>
      <c r="G9" s="6">
        <f>(Input!C39-Input!C59+Input!C79)/Input!C$5</f>
        <v>0.11008553719008264</v>
      </c>
      <c r="H9" s="6">
        <f>(Input!D39-Input!D59+Input!D79)/Input!D$5</f>
        <v>0.10684655647382919</v>
      </c>
      <c r="I9" s="6">
        <f>(Input!E39-Input!E59+Input!E79)/Input!E$5</f>
        <v>0.10205463917525774</v>
      </c>
      <c r="J9" s="6">
        <f>(Input!F39-Input!F59+Input!F79)/Input!F$5</f>
        <v>6.0792412935323392E-2</v>
      </c>
      <c r="K9" s="6">
        <f>(Input!G39-Input!G59+Input!G79)/Input!G$5</f>
        <v>5.5724201474201471E-2</v>
      </c>
      <c r="L9" s="6">
        <f>(Input!H39-Input!H59+Input!H79)/Input!H$5</f>
        <v>5.5717475728155337E-2</v>
      </c>
      <c r="M9" s="6">
        <f>(Input!I39-Input!I59+Input!I79)/Input!I$5</f>
        <v>7.5604517453798759E-2</v>
      </c>
      <c r="N9" s="6">
        <f>(Input!J39-Input!J59+Input!J79)/Input!J$5</f>
        <v>0.34151834061135367</v>
      </c>
      <c r="O9" s="6">
        <f t="shared" si="1"/>
        <v>0.10409701548712032</v>
      </c>
    </row>
    <row r="10" spans="1:15" ht="13.5" customHeight="1" x14ac:dyDescent="0.2">
      <c r="B10" s="4" t="s">
        <v>123</v>
      </c>
      <c r="E10" s="8">
        <f>SUM(E7:E9)</f>
        <v>11.65771787878788</v>
      </c>
      <c r="F10" s="8">
        <f t="shared" ref="F10:N10" si="2">SUM(F7:F9)</f>
        <v>11.264449449035814</v>
      </c>
      <c r="G10" s="8">
        <f t="shared" si="2"/>
        <v>9.4468552341597789</v>
      </c>
      <c r="H10" s="8">
        <f t="shared" si="2"/>
        <v>9.98316432506887</v>
      </c>
      <c r="I10" s="8">
        <f t="shared" si="2"/>
        <v>11.419431056701031</v>
      </c>
      <c r="J10" s="8">
        <f t="shared" si="2"/>
        <v>11.03885895522388</v>
      </c>
      <c r="K10" s="8">
        <f t="shared" si="2"/>
        <v>9.9074246928746916</v>
      </c>
      <c r="L10" s="8">
        <f t="shared" si="2"/>
        <v>10.231723786407768</v>
      </c>
      <c r="M10" s="8">
        <f t="shared" si="2"/>
        <v>11.239203490759754</v>
      </c>
      <c r="N10" s="8">
        <f t="shared" si="2"/>
        <v>12.460482969432315</v>
      </c>
      <c r="O10" s="8">
        <f t="shared" si="1"/>
        <v>10.864931183845176</v>
      </c>
    </row>
    <row r="11" spans="1:15" ht="2.25" customHeight="1" x14ac:dyDescent="0.2">
      <c r="O11" s="6"/>
    </row>
    <row r="12" spans="1:15" ht="12" customHeight="1" x14ac:dyDescent="0.2">
      <c r="B12" t="s">
        <v>124</v>
      </c>
      <c r="E12" s="6">
        <f>(Input!A40-Input!A60+Input!A80)/Input!A$5</f>
        <v>6.9311693939393937</v>
      </c>
      <c r="F12" s="6">
        <f>(Input!B40-Input!B60+Input!B80)/Input!B$5</f>
        <v>7.1225191460055095</v>
      </c>
      <c r="G12" s="6">
        <f>(Input!C40-Input!C60+Input!C80)/Input!C$5</f>
        <v>6.5365841597796148</v>
      </c>
      <c r="H12" s="6">
        <f>(Input!D40-Input!D60+Input!D80)/Input!D$5</f>
        <v>7.398242561983472</v>
      </c>
      <c r="I12" s="6">
        <f>(Input!E40-Input!E60+Input!E80)/Input!E$5</f>
        <v>6.6431494845360817</v>
      </c>
      <c r="J12" s="6">
        <f>(Input!F40-Input!F60+Input!F80)/Input!F$5</f>
        <v>6.4964400497512438</v>
      </c>
      <c r="K12" s="6">
        <f>(Input!G40-Input!G60+Input!G80)/Input!G$5</f>
        <v>6.1899820638820637</v>
      </c>
      <c r="L12" s="6">
        <f>(Input!H40-Input!H60+Input!H80)/Input!H$5</f>
        <v>6.2374177184466015</v>
      </c>
      <c r="M12" s="6">
        <f>(Input!I40-Input!I60+Input!I80)/Input!I$5</f>
        <v>5.2756229979466118</v>
      </c>
      <c r="N12" s="6">
        <f>(Input!J40-Input!J60+Input!J80)/Input!J$5</f>
        <v>6.550571615720524</v>
      </c>
      <c r="O12" s="6">
        <f t="shared" si="1"/>
        <v>6.5381699191991114</v>
      </c>
    </row>
    <row r="13" spans="1:15" ht="12" customHeight="1" x14ac:dyDescent="0.2">
      <c r="B13" t="s">
        <v>125</v>
      </c>
      <c r="E13" s="6">
        <f>(Input!A41-Input!A61+Input!A81)/Input!A$5</f>
        <v>1.8005978787878789</v>
      </c>
      <c r="F13" s="6">
        <f>(Input!B41-Input!B61+Input!B81)/Input!B$5</f>
        <v>1.8644494490358126</v>
      </c>
      <c r="G13" s="6">
        <f>(Input!C41-Input!C61+Input!C81)/Input!C$5</f>
        <v>1.7782465564738292</v>
      </c>
      <c r="H13" s="6">
        <f>(Input!D41-Input!D61+Input!D81)/Input!D$5</f>
        <v>2.0462359504132235</v>
      </c>
      <c r="I13" s="6">
        <f>(Input!E41-Input!E61+Input!E81)/Input!E$5</f>
        <v>1.8574942010309277</v>
      </c>
      <c r="J13" s="6">
        <f>(Input!F41-Input!F61+Input!F81)/Input!F$5</f>
        <v>1.8128886815920398</v>
      </c>
      <c r="K13" s="6">
        <f>(Input!G41-Input!G61+Input!G81)/Input!G$5</f>
        <v>1.7797958230958231</v>
      </c>
      <c r="L13" s="6">
        <f>(Input!H41-Input!H61+Input!H81)/Input!H$5</f>
        <v>1.7921696601941743</v>
      </c>
      <c r="M13" s="6">
        <f>(Input!I41-Input!I61+Input!I81)/Input!I$5</f>
        <v>1.5324562628336755</v>
      </c>
      <c r="N13" s="6">
        <f>(Input!J41-Input!J61+Input!J81)/Input!J$5</f>
        <v>1.7566004366812229</v>
      </c>
      <c r="O13" s="6">
        <f t="shared" si="1"/>
        <v>1.8020934900138605</v>
      </c>
    </row>
    <row r="14" spans="1:15" ht="12" customHeight="1" x14ac:dyDescent="0.2">
      <c r="B14" t="s">
        <v>126</v>
      </c>
      <c r="E14" s="6">
        <f>(Input!A42-Input!A62+Input!A82)/Input!A$5</f>
        <v>0</v>
      </c>
      <c r="F14" s="6">
        <f>(Input!B42-Input!B62+Input!B82)/Input!B$5</f>
        <v>0</v>
      </c>
      <c r="G14" s="6">
        <f>(Input!C42-Input!C62+Input!C82)/Input!C$5</f>
        <v>0</v>
      </c>
      <c r="H14" s="6">
        <f>(Input!D42-Input!D62+Input!D82)/Input!D$5</f>
        <v>0</v>
      </c>
      <c r="I14" s="6">
        <f>(Input!E42-Input!E62+Input!E82)/Input!E$5</f>
        <v>5.4824742268041231E-2</v>
      </c>
      <c r="J14" s="6">
        <f>(Input!F42-Input!F62+Input!F82)/Input!F$5</f>
        <v>5.1979850746268659E-2</v>
      </c>
      <c r="K14" s="6">
        <f>(Input!G42-Input!G62+Input!G82)/Input!G$5</f>
        <v>0.19328083538083538</v>
      </c>
      <c r="L14" s="6">
        <f>(Input!H42-Input!H62+Input!H82)/Input!H$5</f>
        <v>0.18631529126213592</v>
      </c>
      <c r="M14" s="6">
        <f>(Input!I42-Input!I62+Input!I82)/Input!I$5</f>
        <v>0</v>
      </c>
      <c r="N14" s="6">
        <f>(Input!J42-Input!J62+Input!J82)/Input!J$5</f>
        <v>0</v>
      </c>
      <c r="O14" s="6">
        <f t="shared" si="1"/>
        <v>4.8640071965728122E-2</v>
      </c>
    </row>
    <row r="15" spans="1:15" ht="13.5" customHeight="1" x14ac:dyDescent="0.2">
      <c r="B15" s="4" t="s">
        <v>130</v>
      </c>
      <c r="E15" s="8">
        <f>SUM(E12:E14)</f>
        <v>8.7317672727272733</v>
      </c>
      <c r="F15" s="8">
        <f t="shared" ref="F15:N15" si="3">SUM(F12:F14)</f>
        <v>8.9869685950413221</v>
      </c>
      <c r="G15" s="8">
        <f t="shared" si="3"/>
        <v>8.3148307162534447</v>
      </c>
      <c r="H15" s="8">
        <f t="shared" si="3"/>
        <v>9.4444785123966959</v>
      </c>
      <c r="I15" s="8">
        <f t="shared" si="3"/>
        <v>8.5554684278350503</v>
      </c>
      <c r="J15" s="8">
        <f t="shared" si="3"/>
        <v>8.3613085820895527</v>
      </c>
      <c r="K15" s="8">
        <f t="shared" si="3"/>
        <v>8.1630587223587234</v>
      </c>
      <c r="L15" s="8">
        <f t="shared" si="3"/>
        <v>8.2159026699029134</v>
      </c>
      <c r="M15" s="8">
        <f t="shared" si="3"/>
        <v>6.8080792607802874</v>
      </c>
      <c r="N15" s="8">
        <f t="shared" si="3"/>
        <v>8.3071720524017465</v>
      </c>
      <c r="O15" s="8">
        <f t="shared" si="1"/>
        <v>8.3889034811787013</v>
      </c>
    </row>
    <row r="16" spans="1:15" ht="3" customHeight="1" x14ac:dyDescent="0.2">
      <c r="O16" s="6"/>
    </row>
    <row r="17" spans="2:15" ht="12" customHeight="1" x14ac:dyDescent="0.2">
      <c r="B17" t="s">
        <v>127</v>
      </c>
      <c r="E17" s="6">
        <f>(Input!A43-Input!A63+Input!A83)/Input!A$5</f>
        <v>2.1915922727272732</v>
      </c>
      <c r="F17" s="6">
        <f>(Input!B43-Input!B63+Input!B83)/Input!B$5</f>
        <v>1.8216022038567494</v>
      </c>
      <c r="G17" s="6">
        <f>(Input!C43-Input!C63+Input!C83)/Input!C$5</f>
        <v>1.6529926997245181</v>
      </c>
      <c r="H17" s="6">
        <f>(Input!D43-Input!D63+Input!D83)/Input!D$5</f>
        <v>1.254460468319559</v>
      </c>
      <c r="I17" s="6">
        <f>(Input!E43-Input!E63+Input!E83)/Input!E$5</f>
        <v>1.2739340206185568</v>
      </c>
      <c r="J17" s="6">
        <f>(Input!F43-Input!F63+Input!F83)/Input!F$5</f>
        <v>1.5165630597014925</v>
      </c>
      <c r="K17" s="6">
        <f>(Input!G43-Input!G63+Input!G83)/Input!G$5</f>
        <v>1.4801314496314495</v>
      </c>
      <c r="L17" s="6">
        <f>(Input!H43-Input!H63+Input!H83)/Input!H$5</f>
        <v>1.4950709951456311</v>
      </c>
      <c r="M17" s="6">
        <f>(Input!I43-Input!I63+Input!I83)/Input!I$5</f>
        <v>0.76986735112936344</v>
      </c>
      <c r="N17" s="6">
        <f>(Input!J43-Input!J63+Input!J83)/Input!J$5</f>
        <v>1.0753860262008732</v>
      </c>
      <c r="O17" s="6">
        <f t="shared" si="1"/>
        <v>1.4531600547055468</v>
      </c>
    </row>
    <row r="18" spans="2:15" ht="12" customHeight="1" x14ac:dyDescent="0.2">
      <c r="B18" t="s">
        <v>128</v>
      </c>
      <c r="E18" s="6">
        <f>(Input!A44-Input!A64+Input!A84)/Input!A$5</f>
        <v>3.7625471212121209</v>
      </c>
      <c r="F18" s="6">
        <f>(Input!B44-Input!B64+Input!B84)/Input!B$5</f>
        <v>3.7248588154269973</v>
      </c>
      <c r="G18" s="6">
        <f>(Input!C44-Input!C64+Input!C84)/Input!C$5</f>
        <v>3.3610461432506891</v>
      </c>
      <c r="H18" s="6">
        <f>(Input!D44-Input!D64+Input!D84)/Input!D$5</f>
        <v>3.2058424242424244</v>
      </c>
      <c r="I18" s="6">
        <f>(Input!E44-Input!E64+Input!E84)/Input!E$5</f>
        <v>3.7876307989690723</v>
      </c>
      <c r="J18" s="6">
        <f>(Input!F44-Input!F64+Input!F84)/Input!F$5</f>
        <v>2.6722971393034824</v>
      </c>
      <c r="K18" s="6">
        <f>(Input!G44-Input!G64+Input!G84)/Input!G$5</f>
        <v>2.3680222358722358</v>
      </c>
      <c r="L18" s="6">
        <f>(Input!H44-Input!H64+Input!H84)/Input!H$5</f>
        <v>2.2780499999999999</v>
      </c>
      <c r="M18" s="6">
        <f>(Input!I44-Input!I64+Input!I84)/Input!I$5</f>
        <v>2.7149993839835731</v>
      </c>
      <c r="N18" s="6">
        <f>(Input!J44-Input!J64+Input!J84)/Input!J$5</f>
        <v>5.1268248908296945</v>
      </c>
      <c r="O18" s="6">
        <f t="shared" si="1"/>
        <v>3.3002118953090287</v>
      </c>
    </row>
    <row r="19" spans="2:15" ht="13.5" customHeight="1" x14ac:dyDescent="0.2">
      <c r="B19" s="4" t="s">
        <v>129</v>
      </c>
      <c r="E19" s="8">
        <f>SUM(E17:E18)</f>
        <v>5.9541393939393945</v>
      </c>
      <c r="F19" s="8">
        <f t="shared" ref="F19:N19" si="4">SUM(F17:F18)</f>
        <v>5.5464610192837469</v>
      </c>
      <c r="G19" s="8">
        <f t="shared" si="4"/>
        <v>5.0140388429752072</v>
      </c>
      <c r="H19" s="8">
        <f t="shared" si="4"/>
        <v>4.4603028925619839</v>
      </c>
      <c r="I19" s="8">
        <f t="shared" si="4"/>
        <v>5.0615648195876286</v>
      </c>
      <c r="J19" s="8">
        <f t="shared" si="4"/>
        <v>4.1888601990049752</v>
      </c>
      <c r="K19" s="8">
        <f t="shared" si="4"/>
        <v>3.8481536855036853</v>
      </c>
      <c r="L19" s="8">
        <f t="shared" si="4"/>
        <v>3.7731209951456313</v>
      </c>
      <c r="M19" s="8">
        <f t="shared" si="4"/>
        <v>3.4848667351129365</v>
      </c>
      <c r="N19" s="8">
        <f t="shared" si="4"/>
        <v>6.2022109170305679</v>
      </c>
      <c r="O19" s="8">
        <f t="shared" si="1"/>
        <v>4.7533719500145768</v>
      </c>
    </row>
    <row r="20" spans="2:15" ht="3" customHeight="1" x14ac:dyDescent="0.2">
      <c r="O20" s="6"/>
    </row>
    <row r="21" spans="2:15" ht="12" customHeight="1" x14ac:dyDescent="0.2">
      <c r="B21" t="s">
        <v>131</v>
      </c>
      <c r="E21" s="6">
        <f>(Input!A45-Input!A65+Input!A85)/Input!A$5</f>
        <v>37.594823181818185</v>
      </c>
      <c r="F21" s="6">
        <f>(Input!B45-Input!B65+Input!B85)/Input!B$5</f>
        <v>33.427351652892561</v>
      </c>
      <c r="G21" s="6">
        <f>(Input!C45-Input!C65+Input!C85)/Input!C$5</f>
        <v>26.903530303030308</v>
      </c>
      <c r="H21" s="6">
        <f>(Input!D45-Input!D65+Input!D85)/Input!D$5</f>
        <v>28.837375482093663</v>
      </c>
      <c r="I21" s="6">
        <f>(Input!E45-Input!E65+Input!E85)/Input!E$5</f>
        <v>26.059544716494845</v>
      </c>
      <c r="J21" s="6">
        <f>(Input!F45-Input!F65+Input!F85)/Input!F$5</f>
        <v>24.232437189054725</v>
      </c>
      <c r="K21" s="6">
        <f>(Input!G45-Input!G65+Input!G85)/Input!G$5</f>
        <v>24.200046560196562</v>
      </c>
      <c r="L21" s="6">
        <f>(Input!H45-Input!H65+Input!H85)/Input!H$5</f>
        <v>23.216128398058252</v>
      </c>
      <c r="M21" s="6">
        <f>(Input!I45-Input!I65+Input!I85)/Input!I$5</f>
        <v>23.958538809034906</v>
      </c>
      <c r="N21" s="6">
        <f>(Input!J45-Input!J65+Input!J85)/Input!J$5</f>
        <v>23.186183406113539</v>
      </c>
      <c r="O21" s="6">
        <f t="shared" si="1"/>
        <v>27.161595969878753</v>
      </c>
    </row>
    <row r="22" spans="2:15" ht="12" customHeight="1" x14ac:dyDescent="0.2">
      <c r="B22" t="s">
        <v>132</v>
      </c>
      <c r="E22" s="6">
        <f>(Input!A46-Input!A66+Input!A86)/Input!A$5</f>
        <v>4.302050151515151</v>
      </c>
      <c r="F22" s="6">
        <f>(Input!B46-Input!B66+Input!B86)/Input!B$5</f>
        <v>5.0658172176308538</v>
      </c>
      <c r="G22" s="6">
        <f>(Input!C46-Input!C66+Input!C86)/Input!C$5</f>
        <v>3.1926668044077133</v>
      </c>
      <c r="H22" s="6">
        <f>(Input!D46-Input!D66+Input!D86)/Input!D$5</f>
        <v>2.9220265840220385</v>
      </c>
      <c r="I22" s="6">
        <f>(Input!E46-Input!E66+Input!E86)/Input!E$5</f>
        <v>2.8677009020618556</v>
      </c>
      <c r="J22" s="6">
        <f>(Input!F46-Input!F66+Input!F86)/Input!F$5</f>
        <v>2.8140140547263681</v>
      </c>
      <c r="K22" s="6">
        <f>(Input!G46-Input!G66+Input!G86)/Input!G$5</f>
        <v>3.2837431203931202</v>
      </c>
      <c r="L22" s="6">
        <f>(Input!H46-Input!H66+Input!H86)/Input!H$5</f>
        <v>3.4633523058252424</v>
      </c>
      <c r="M22" s="6">
        <f>(Input!I46-Input!I66+Input!I86)/Input!I$5</f>
        <v>2.7946408624229981</v>
      </c>
      <c r="N22" s="6">
        <f>(Input!J46-Input!J66+Input!J86)/Input!J$5</f>
        <v>6.1089112081513823</v>
      </c>
      <c r="O22" s="6">
        <f t="shared" si="1"/>
        <v>3.6814923211156718</v>
      </c>
    </row>
    <row r="23" spans="2:15" ht="12" customHeight="1" x14ac:dyDescent="0.2">
      <c r="B23" t="s">
        <v>133</v>
      </c>
      <c r="E23" s="6">
        <f>(Input!A47-Input!A67+Input!A87)/Input!A$5</f>
        <v>0.54019515151515152</v>
      </c>
      <c r="F23" s="6">
        <f>(Input!B47-Input!B67+Input!B87)/Input!B$5</f>
        <v>0.43584724517906331</v>
      </c>
      <c r="G23" s="6">
        <f>(Input!C47-Input!C67+Input!C87)/Input!C$5</f>
        <v>0.60347107438016534</v>
      </c>
      <c r="H23" s="6">
        <f>(Input!D47-Input!D67+Input!D87)/Input!D$5</f>
        <v>0.35147809917355372</v>
      </c>
      <c r="I23" s="6">
        <f>(Input!E47-Input!E67+Input!E87)/Input!E$5</f>
        <v>0.26517847938144329</v>
      </c>
      <c r="J23" s="6">
        <f>(Input!F47-Input!F67+Input!F87)/Input!F$5</f>
        <v>0.18910833333333332</v>
      </c>
      <c r="K23" s="6">
        <f>(Input!G47-Input!G67+Input!G87)/Input!G$5</f>
        <v>0.18947518427518428</v>
      </c>
      <c r="L23" s="6">
        <f>(Input!H47-Input!H67+Input!H87)/Input!H$5</f>
        <v>9.9929854368932036E-2</v>
      </c>
      <c r="M23" s="6">
        <f>(Input!I47-Input!I67+Input!I87)/Input!I$5</f>
        <v>0.20006468172484598</v>
      </c>
      <c r="N23" s="6">
        <f>(Input!J47-Input!J67+Input!J87)/Input!J$5</f>
        <v>0.16595574963609899</v>
      </c>
      <c r="O23" s="6">
        <f t="shared" si="1"/>
        <v>0.30407038529677721</v>
      </c>
    </row>
    <row r="24" spans="2:15" ht="12" customHeight="1" x14ac:dyDescent="0.2">
      <c r="B24" t="s">
        <v>134</v>
      </c>
      <c r="E24" s="6">
        <f>(Input!A48-Input!A68+Input!A88)/Input!A$5</f>
        <v>0.38647075757575755</v>
      </c>
      <c r="F24" s="6">
        <f>(Input!B48-Input!B68+Input!B88)/Input!B$5</f>
        <v>0.52598209366391191</v>
      </c>
      <c r="G24" s="6">
        <f>(Input!C48-Input!C68+Input!C88)/Input!C$5</f>
        <v>0.70973085399449043</v>
      </c>
      <c r="H24" s="6">
        <f>(Input!D48-Input!D68+Input!D88)/Input!D$5</f>
        <v>0.81189476584022047</v>
      </c>
      <c r="I24" s="6">
        <f>(Input!E48-Input!E68+Input!E88)/Input!E$5</f>
        <v>0.78321108247422677</v>
      </c>
      <c r="J24" s="6">
        <f>(Input!F48-Input!F68+Input!F88)/Input!F$5</f>
        <v>0.37458283582089552</v>
      </c>
      <c r="K24" s="6">
        <f>(Input!G48-Input!G68+Input!G88)/Input!G$5</f>
        <v>1.0304425061425062</v>
      </c>
      <c r="L24" s="6">
        <f>(Input!H48-Input!H68+Input!H88)/Input!H$5</f>
        <v>1.071943082524272</v>
      </c>
      <c r="M24" s="6">
        <f>(Input!I48-Input!I68+Input!I88)/Input!I$5</f>
        <v>4.1975154004106778E-2</v>
      </c>
      <c r="N24" s="6">
        <f>(Input!J48-Input!J68+Input!J88)/Input!J$5</f>
        <v>0.15760742358078603</v>
      </c>
      <c r="O24" s="6">
        <f t="shared" si="1"/>
        <v>0.58938405556211737</v>
      </c>
    </row>
    <row r="25" spans="2:15" ht="12" customHeight="1" x14ac:dyDescent="0.2">
      <c r="B25" t="s">
        <v>135</v>
      </c>
      <c r="E25" s="6">
        <f>(Input!A49-Input!A69+Input!A89)/Input!A$5</f>
        <v>1.2252943939393939</v>
      </c>
      <c r="F25" s="6">
        <f>(Input!B49-Input!B69+Input!B89)/Input!B$5</f>
        <v>3.3273703856749313</v>
      </c>
      <c r="G25" s="6">
        <f>(Input!C49-Input!C69+Input!C89)/Input!C$5</f>
        <v>3.7610191460055096</v>
      </c>
      <c r="H25" s="6">
        <f>(Input!D49-Input!D69+Input!D89)/Input!D$5</f>
        <v>3.5042210743801654</v>
      </c>
      <c r="I25" s="6">
        <f>(Input!E49-Input!E69+Input!E89)/Input!E$5</f>
        <v>2.9966902061855669</v>
      </c>
      <c r="J25" s="6">
        <f>(Input!F49-Input!F69+Input!F89)/Input!F$5</f>
        <v>2.6908449004975123</v>
      </c>
      <c r="K25" s="6">
        <f>(Input!G49-Input!G69+Input!G89)/Input!G$5</f>
        <v>2.5782443488943487</v>
      </c>
      <c r="L25" s="6">
        <f>(Input!H49-Input!H69+Input!H89)/Input!H$5</f>
        <v>2.530633980582524</v>
      </c>
      <c r="M25" s="6">
        <f>(Input!I49-Input!I69+Input!I89)/Input!I$5</f>
        <v>3.2182618069815194</v>
      </c>
      <c r="N25" s="6">
        <f>(Input!J49-Input!J69+Input!J89)/Input!J$5</f>
        <v>1.9935136826783117</v>
      </c>
      <c r="O25" s="6">
        <f t="shared" si="1"/>
        <v>2.7826093925819784</v>
      </c>
    </row>
    <row r="26" spans="2:15" ht="13.5" customHeight="1" x14ac:dyDescent="0.2">
      <c r="B26" s="4" t="s">
        <v>136</v>
      </c>
      <c r="E26" s="8">
        <f>SUM(E21:E25)</f>
        <v>44.048833636363639</v>
      </c>
      <c r="F26" s="8">
        <f t="shared" ref="F26:N26" si="5">SUM(F21:F25)</f>
        <v>42.782368595041319</v>
      </c>
      <c r="G26" s="8">
        <f t="shared" si="5"/>
        <v>35.170418181818192</v>
      </c>
      <c r="H26" s="8">
        <f t="shared" si="5"/>
        <v>36.426996005509636</v>
      </c>
      <c r="I26" s="8">
        <f t="shared" si="5"/>
        <v>32.972325386597937</v>
      </c>
      <c r="J26" s="8">
        <f t="shared" si="5"/>
        <v>30.300987313432834</v>
      </c>
      <c r="K26" s="8">
        <f t="shared" si="5"/>
        <v>31.28195171990172</v>
      </c>
      <c r="L26" s="8">
        <f t="shared" si="5"/>
        <v>30.381987621359222</v>
      </c>
      <c r="M26" s="8">
        <f t="shared" si="5"/>
        <v>30.213481314168376</v>
      </c>
      <c r="N26" s="8">
        <f t="shared" si="5"/>
        <v>31.612171470160117</v>
      </c>
      <c r="O26" s="8">
        <f t="shared" si="1"/>
        <v>34.519152124435301</v>
      </c>
    </row>
    <row r="27" spans="2:15" ht="3" customHeight="1" x14ac:dyDescent="0.2">
      <c r="B27" s="4"/>
      <c r="E27" s="8"/>
      <c r="F27" s="8"/>
      <c r="G27" s="8"/>
      <c r="H27" s="8"/>
      <c r="I27" s="8"/>
      <c r="J27" s="8"/>
      <c r="K27" s="8"/>
      <c r="L27" s="8"/>
      <c r="M27" s="8"/>
      <c r="N27" s="8"/>
      <c r="O27" s="6"/>
    </row>
    <row r="28" spans="2:15" ht="12" customHeight="1" x14ac:dyDescent="0.2">
      <c r="B28" t="s">
        <v>137</v>
      </c>
      <c r="E28" s="6">
        <f>(Input!A50-Input!A70+Input!A90)/Input!A$5</f>
        <v>2.3190354545454546</v>
      </c>
      <c r="F28" s="6">
        <f>(Input!B50-Input!B70+Input!B90)/Input!B$5</f>
        <v>2.3874643250688705</v>
      </c>
      <c r="G28" s="6">
        <f>(Input!C50-Input!C70+Input!C90)/Input!C$5</f>
        <v>2.3858487603305782</v>
      </c>
      <c r="H28" s="6">
        <f>(Input!D50-Input!D70+Input!D90)/Input!D$5</f>
        <v>1.8898743801652893</v>
      </c>
      <c r="I28" s="6">
        <f>(Input!E50-Input!E70+Input!E90)/Input!E$5</f>
        <v>1.7924206185567011</v>
      </c>
      <c r="J28" s="6">
        <f>(Input!F50-Input!F70+Input!F90)/Input!F$5</f>
        <v>1.719353855721393</v>
      </c>
      <c r="K28" s="6">
        <f>(Input!G50-Input!G70+Input!G90)/Input!G$5</f>
        <v>1.7475485257985259</v>
      </c>
      <c r="L28" s="6">
        <f>(Input!H50-Input!H70+Input!H90)/Input!H$5</f>
        <v>1.5780294902912622</v>
      </c>
      <c r="M28" s="6">
        <f>(Input!I50-Input!I70+Input!I90)/Input!I$5</f>
        <v>1.7120924024640656</v>
      </c>
      <c r="N28" s="6">
        <f>(Input!J50-Input!J70+Input!J90)/Input!J$5</f>
        <v>2.273739592430859</v>
      </c>
      <c r="O28" s="6">
        <f t="shared" si="1"/>
        <v>1.9805407405372997</v>
      </c>
    </row>
    <row r="29" spans="2:15" ht="12" customHeight="1" x14ac:dyDescent="0.2">
      <c r="B29" t="s">
        <v>138</v>
      </c>
      <c r="E29" s="6">
        <f>(Input!A51-Input!A71+Input!A91)/Input!A$5</f>
        <v>0.18515833333333334</v>
      </c>
      <c r="F29" s="6">
        <f>(Input!B51-Input!B71+Input!B91)/Input!B$5</f>
        <v>0.1990417355371901</v>
      </c>
      <c r="G29" s="6">
        <f>(Input!C51-Input!C71+Input!C91)/Input!C$5</f>
        <v>0.14490179063360881</v>
      </c>
      <c r="H29" s="6">
        <f>(Input!D51-Input!D71+Input!D91)/Input!D$5</f>
        <v>0.13569683195592286</v>
      </c>
      <c r="I29" s="6">
        <f>(Input!E51-Input!E71+Input!E91)/Input!E$5</f>
        <v>0.17498363402061856</v>
      </c>
      <c r="J29" s="6">
        <f>(Input!F51-Input!F71+Input!F91)/Input!F$5</f>
        <v>0.19305646766169152</v>
      </c>
      <c r="K29" s="6">
        <f>(Input!G51-Input!G71+Input!G91)/Input!G$5</f>
        <v>0.18281044226044227</v>
      </c>
      <c r="L29" s="6">
        <f>(Input!H51-Input!H71+Input!H91)/Input!H$5</f>
        <v>0.21843555825242722</v>
      </c>
      <c r="M29" s="6">
        <f>(Input!I51-Input!I71+Input!I91)/Input!I$5</f>
        <v>6.8498151950718678E-2</v>
      </c>
      <c r="N29" s="6">
        <f>(Input!J51-Input!J71+Input!J91)/Input!J$5</f>
        <v>5.2303347889374095E-2</v>
      </c>
      <c r="O29" s="6">
        <f t="shared" si="1"/>
        <v>0.15548862934953275</v>
      </c>
    </row>
    <row r="30" spans="2:15" ht="13.5" customHeight="1" x14ac:dyDescent="0.2">
      <c r="B30" s="4" t="s">
        <v>139</v>
      </c>
      <c r="E30" s="8">
        <f>SUM(E28:E29)</f>
        <v>2.5041937878787879</v>
      </c>
      <c r="F30" s="8">
        <f t="shared" ref="F30:N30" si="6">SUM(F28:F29)</f>
        <v>2.5865060606060606</v>
      </c>
      <c r="G30" s="8">
        <f t="shared" si="6"/>
        <v>2.530750550964187</v>
      </c>
      <c r="H30" s="8">
        <f t="shared" si="6"/>
        <v>2.0255712121212124</v>
      </c>
      <c r="I30" s="8">
        <f t="shared" si="6"/>
        <v>1.9674042525773197</v>
      </c>
      <c r="J30" s="8">
        <f t="shared" si="6"/>
        <v>1.9124103233830845</v>
      </c>
      <c r="K30" s="8">
        <f t="shared" si="6"/>
        <v>1.9303589680589681</v>
      </c>
      <c r="L30" s="8">
        <f t="shared" si="6"/>
        <v>1.7964650485436895</v>
      </c>
      <c r="M30" s="8">
        <f t="shared" si="6"/>
        <v>1.7805905544147842</v>
      </c>
      <c r="N30" s="8">
        <f t="shared" si="6"/>
        <v>2.326042940320233</v>
      </c>
      <c r="O30" s="8">
        <f t="shared" si="1"/>
        <v>2.1360293698868325</v>
      </c>
    </row>
    <row r="31" spans="2:15" ht="3" customHeight="1" x14ac:dyDescent="0.2">
      <c r="B31" s="4"/>
      <c r="E31" s="8"/>
      <c r="F31" s="8"/>
      <c r="G31" s="8"/>
      <c r="H31" s="8"/>
      <c r="I31" s="8"/>
      <c r="J31" s="8"/>
      <c r="K31" s="8"/>
      <c r="L31" s="8"/>
      <c r="M31" s="8"/>
      <c r="N31" s="8"/>
      <c r="O31" s="6"/>
    </row>
    <row r="32" spans="2:15" ht="12" customHeight="1" x14ac:dyDescent="0.2">
      <c r="B32" t="s">
        <v>140</v>
      </c>
      <c r="E32" s="6">
        <f>(Input!A52-Input!A72+Input!A92)/Input!A$5</f>
        <v>4.3008636363636367E-2</v>
      </c>
      <c r="F32" s="6">
        <f>(Input!B52-Input!B72+Input!B92)/Input!B$5</f>
        <v>3.7962396694214876E-2</v>
      </c>
      <c r="G32" s="6">
        <f>(Input!C52-Input!C72+Input!C92)/Input!C$5</f>
        <v>4.9027548209366389E-2</v>
      </c>
      <c r="H32" s="6">
        <f>(Input!D52-Input!D72+Input!D92)/Input!D$5</f>
        <v>0.12018925619834711</v>
      </c>
      <c r="I32" s="6">
        <f>(Input!E52-Input!E72+Input!E92)/Input!E$5</f>
        <v>0.20853260309278349</v>
      </c>
      <c r="J32" s="6">
        <f>(Input!F52-Input!F72+Input!F92)/Input!F$5</f>
        <v>0.22620858208955227</v>
      </c>
      <c r="K32" s="6">
        <f>(Input!G52-Input!G72+Input!G92)/Input!G$5</f>
        <v>9.3765601965601977E-2</v>
      </c>
      <c r="L32" s="6">
        <f>(Input!H52-Input!H72+Input!H92)/Input!H$5</f>
        <v>8.5845752427184466E-2</v>
      </c>
      <c r="M32" s="6">
        <f>(Input!I52-Input!I72+Input!I92)/Input!I$5</f>
        <v>7.7913552361396313E-2</v>
      </c>
      <c r="N32" s="6">
        <f>(Input!J52-Input!J72+Input!J92)/Input!J$5</f>
        <v>6.5443813682678306E-2</v>
      </c>
      <c r="O32" s="6">
        <f t="shared" si="1"/>
        <v>0.10078977430847616</v>
      </c>
    </row>
    <row r="33" spans="2:15" ht="12" customHeight="1" x14ac:dyDescent="0.2">
      <c r="B33" t="s">
        <v>141</v>
      </c>
      <c r="E33" s="6">
        <f>(Input!A53-Input!A73+Input!A93)/Input!A$5</f>
        <v>0.77250545454545461</v>
      </c>
      <c r="F33" s="6">
        <f>(Input!B53-Input!B73+Input!B93)/Input!B$5</f>
        <v>0.5633662534435262</v>
      </c>
      <c r="G33" s="6">
        <f>(Input!C53-Input!C73+Input!C93)/Input!C$5</f>
        <v>0.44260867768595041</v>
      </c>
      <c r="H33" s="6">
        <f>(Input!D53-Input!D73+Input!D93)/Input!D$5</f>
        <v>0.40633044077134989</v>
      </c>
      <c r="I33" s="6">
        <f>(Input!E53-Input!E73+Input!E93)/Input!E$5</f>
        <v>0.4463481958762886</v>
      </c>
      <c r="J33" s="6">
        <f>(Input!F53-Input!F73+Input!F93)/Input!F$5</f>
        <v>0.45194527363184073</v>
      </c>
      <c r="K33" s="6">
        <f>(Input!G53-Input!G73+Input!G93)/Input!G$5</f>
        <v>0.44084668304668301</v>
      </c>
      <c r="L33" s="6">
        <f>(Input!H53-Input!H73+Input!H93)/Input!H$5</f>
        <v>0.41737597087378642</v>
      </c>
      <c r="M33" s="6">
        <f>(Input!I53-Input!I73+Input!I93)/Input!I$5</f>
        <v>0.33000410677618069</v>
      </c>
      <c r="N33" s="6">
        <f>(Input!J53-Input!J73+Input!J93)/Input!J$5</f>
        <v>0.41948835516739452</v>
      </c>
      <c r="O33" s="6">
        <f t="shared" si="1"/>
        <v>0.46908194118184543</v>
      </c>
    </row>
    <row r="34" spans="2:15" ht="12" customHeight="1" x14ac:dyDescent="0.2">
      <c r="B34" t="s">
        <v>142</v>
      </c>
      <c r="E34" s="6">
        <f>(Input!A54-Input!A74+Input!A94)/Input!A$5</f>
        <v>0.15967848484848485</v>
      </c>
      <c r="F34" s="6">
        <f>(Input!B54-Input!B74+Input!B94)/Input!B$5</f>
        <v>0.13749820936639118</v>
      </c>
      <c r="G34" s="6">
        <f>(Input!C54-Input!C74+Input!C94)/Input!C$5</f>
        <v>0.15113608815426996</v>
      </c>
      <c r="H34" s="6">
        <f>(Input!D54-Input!D74+Input!D94)/Input!D$5</f>
        <v>0.13950812672176308</v>
      </c>
      <c r="I34" s="6">
        <f>(Input!E54-Input!E74+Input!E94)/Input!E$5</f>
        <v>0.12862693298969072</v>
      </c>
      <c r="J34" s="6">
        <f>(Input!F54-Input!F74+Input!F94)/Input!F$5</f>
        <v>0.11662213930348257</v>
      </c>
      <c r="K34" s="6">
        <f>(Input!G54-Input!G74+Input!G94)/Input!G$5</f>
        <v>0.11613943488943489</v>
      </c>
      <c r="L34" s="6">
        <f>(Input!H54-Input!H74+Input!H94)/Input!H$5</f>
        <v>0.12334611650485439</v>
      </c>
      <c r="M34" s="6">
        <f>(Input!I54-Input!I74+Input!I94)/Input!I$5</f>
        <v>0.11551088295687885</v>
      </c>
      <c r="N34" s="6">
        <f>(Input!J54-Input!J74+Input!J94)/Input!J$5</f>
        <v>0.22090101892285297</v>
      </c>
      <c r="O34" s="6">
        <f t="shared" si="1"/>
        <v>0.14089674346581033</v>
      </c>
    </row>
    <row r="35" spans="2:15" ht="12" customHeight="1" x14ac:dyDescent="0.2">
      <c r="B35" t="s">
        <v>143</v>
      </c>
      <c r="E35" s="6">
        <f>(Input!A55-Input!A75+Input!A95)/Input!A$5</f>
        <v>1.2081410606060605</v>
      </c>
      <c r="F35" s="6">
        <f>(Input!B55-Input!B75+Input!B95)/Input!B$5</f>
        <v>1.172906611570248</v>
      </c>
      <c r="G35" s="6">
        <f>(Input!C55-Input!C75+Input!C95)/Input!C$5</f>
        <v>1.1059271349862259</v>
      </c>
      <c r="H35" s="6">
        <f>(Input!D55-Input!D75+Input!D95)/Input!D$5</f>
        <v>1.012660606060606</v>
      </c>
      <c r="I35" s="6">
        <f>(Input!E55-Input!E75+Input!E95)/Input!E$5</f>
        <v>0.96739317010309289</v>
      </c>
      <c r="J35" s="6">
        <f>(Input!F55-Input!F75+Input!F95)/Input!F$5</f>
        <v>0.86676753731343281</v>
      </c>
      <c r="K35" s="6">
        <f>(Input!G55-Input!G75+Input!G95)/Input!G$5</f>
        <v>0.84853538083538083</v>
      </c>
      <c r="L35" s="6">
        <f>(Input!H55-Input!H75+Input!H95)/Input!H$5</f>
        <v>0.91893288834951448</v>
      </c>
      <c r="M35" s="6">
        <f>(Input!I55-Input!I75+Input!I95)/Input!I$5</f>
        <v>0.87732874743326494</v>
      </c>
      <c r="N35" s="6">
        <f>(Input!J55-Input!J75+Input!J95)/Input!J$5</f>
        <v>1.0377163027656475</v>
      </c>
      <c r="O35" s="6">
        <f t="shared" si="1"/>
        <v>1.0016309440023474</v>
      </c>
    </row>
    <row r="36" spans="2:15" ht="13.5" customHeight="1" x14ac:dyDescent="0.2">
      <c r="B36" s="4" t="s">
        <v>144</v>
      </c>
      <c r="E36" s="8">
        <f>SUM(E32:E35)</f>
        <v>2.1833336363636366</v>
      </c>
      <c r="F36" s="8">
        <f t="shared" ref="F36:N36" si="7">SUM(F32:F35)</f>
        <v>1.9117334710743803</v>
      </c>
      <c r="G36" s="8">
        <f t="shared" si="7"/>
        <v>1.7486994490358128</v>
      </c>
      <c r="H36" s="8">
        <f t="shared" si="7"/>
        <v>1.6786884297520661</v>
      </c>
      <c r="I36" s="8">
        <f t="shared" si="7"/>
        <v>1.7509009020618558</v>
      </c>
      <c r="J36" s="8">
        <f t="shared" si="7"/>
        <v>1.6615435323383083</v>
      </c>
      <c r="K36" s="8">
        <f t="shared" si="7"/>
        <v>1.4992871007371007</v>
      </c>
      <c r="L36" s="8">
        <f t="shared" si="7"/>
        <v>1.5455007281553397</v>
      </c>
      <c r="M36" s="8">
        <f t="shared" si="7"/>
        <v>1.4007572895277209</v>
      </c>
      <c r="N36" s="8">
        <f t="shared" si="7"/>
        <v>1.7435494905385733</v>
      </c>
      <c r="O36" s="8">
        <f t="shared" si="1"/>
        <v>1.7123994029584797</v>
      </c>
    </row>
    <row r="37" spans="2:15" ht="6" customHeight="1" x14ac:dyDescent="0.2">
      <c r="B37" s="4"/>
      <c r="E37" s="8"/>
      <c r="F37" s="8"/>
      <c r="G37" s="8"/>
      <c r="H37" s="8"/>
      <c r="I37" s="8"/>
      <c r="J37" s="8"/>
      <c r="K37" s="8"/>
      <c r="L37" s="8"/>
      <c r="M37" s="8"/>
      <c r="N37" s="8"/>
      <c r="O37" s="6"/>
    </row>
    <row r="38" spans="2:15" ht="13.5" customHeight="1" x14ac:dyDescent="0.2">
      <c r="B38" s="4" t="s">
        <v>145</v>
      </c>
      <c r="E38" s="8">
        <f>(Input!A56-Input!A76+Input!A96)/Input!A$5</f>
        <v>3.2922704545454544</v>
      </c>
      <c r="F38" s="8">
        <f>(Input!B56-Input!B76+Input!B96)/Input!B$5</f>
        <v>3.2156626721763093</v>
      </c>
      <c r="G38" s="8">
        <f>(Input!C56-Input!C76+Input!C96)/Input!C$5</f>
        <v>2.4513852617079892</v>
      </c>
      <c r="H38" s="8">
        <f>(Input!D56-Input!D76+Input!D96)/Input!D$5</f>
        <v>2.273354820936639</v>
      </c>
      <c r="I38" s="8">
        <f>(Input!E56-Input!E76+Input!E96)/Input!E$5</f>
        <v>2.0188439432989691</v>
      </c>
      <c r="J38" s="8">
        <f>(Input!F56-Input!F76+Input!F96)/Input!F$5</f>
        <v>2.4499054726368157</v>
      </c>
      <c r="K38" s="8">
        <f>(Input!G56-Input!G76+Input!G96)/Input!G$5</f>
        <v>2.3346361179361179</v>
      </c>
      <c r="L38" s="8">
        <f>(Input!H56-Input!H76+Input!H96)/Input!H$5</f>
        <v>2.3478012135922328</v>
      </c>
      <c r="M38" s="8">
        <f>(Input!I56-Input!I76+Input!I96)/Input!I$5</f>
        <v>1.7553899383983571</v>
      </c>
      <c r="N38" s="8">
        <f>(Input!J56-Input!J76+Input!J96)/Input!J$5</f>
        <v>2.3332227074235807</v>
      </c>
      <c r="O38" s="8">
        <f t="shared" si="1"/>
        <v>2.4472472602652466</v>
      </c>
    </row>
    <row r="39" spans="2:15" ht="6" customHeight="1" x14ac:dyDescent="0.2">
      <c r="B39" s="4"/>
      <c r="E39" s="8"/>
      <c r="F39" s="8"/>
      <c r="G39" s="8"/>
      <c r="H39" s="8"/>
      <c r="I39" s="8"/>
      <c r="J39" s="8"/>
      <c r="K39" s="8"/>
      <c r="L39" s="8"/>
      <c r="M39" s="8"/>
      <c r="N39" s="8"/>
      <c r="O39" s="6"/>
    </row>
    <row r="40" spans="2:15" x14ac:dyDescent="0.2">
      <c r="B40" s="9" t="s">
        <v>67</v>
      </c>
      <c r="C40" s="10"/>
      <c r="D40" s="10"/>
      <c r="E40" s="11">
        <f>SUM(E10,E15,E19,E26,E30,E36,E38)</f>
        <v>78.372256060606077</v>
      </c>
      <c r="F40" s="11">
        <f t="shared" ref="F40:N40" si="8">SUM(F10,F15,F19,F26,F30,F36,F38)</f>
        <v>76.294149862258948</v>
      </c>
      <c r="G40" s="11">
        <f t="shared" si="8"/>
        <v>64.676978236914607</v>
      </c>
      <c r="H40" s="11">
        <f t="shared" si="8"/>
        <v>66.292556198347114</v>
      </c>
      <c r="I40" s="11">
        <f t="shared" si="8"/>
        <v>63.745938788659792</v>
      </c>
      <c r="J40" s="11">
        <f t="shared" si="8"/>
        <v>59.913874378109448</v>
      </c>
      <c r="K40" s="11">
        <f t="shared" si="8"/>
        <v>58.964871007371009</v>
      </c>
      <c r="L40" s="11">
        <f t="shared" si="8"/>
        <v>58.292502063106795</v>
      </c>
      <c r="M40" s="11">
        <f t="shared" si="8"/>
        <v>56.682368583162223</v>
      </c>
      <c r="N40" s="11">
        <f t="shared" si="8"/>
        <v>64.984852547307142</v>
      </c>
      <c r="O40" s="11">
        <f t="shared" si="1"/>
        <v>64.822034772584317</v>
      </c>
    </row>
  </sheetData>
  <mergeCells count="3">
    <mergeCell ref="D1:M1"/>
    <mergeCell ref="D2:M2"/>
    <mergeCell ref="D3:M3"/>
  </mergeCells>
  <phoneticPr fontId="0" type="noConversion"/>
  <pageMargins left="0.78740157480314965" right="0.78740157480314965" top="0.78740157480314965" bottom="0.78740157480314965" header="0.43307086614173229" footer="0.43307086614173229"/>
  <pageSetup paperSize="9" orientation="landscape" horizontalDpi="0" r:id="rId1"/>
  <headerFooter alignWithMargins="0">
    <oddFooter>&amp;L&amp;8BOKU / HVLFÖ&amp;C&amp;8DVR-Nr. 0890723&amp;R&amp;8&amp;D</oddFooter>
  </headerFooter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dimension ref="A1:O40"/>
  <sheetViews>
    <sheetView workbookViewId="0">
      <selection activeCell="D2" sqref="D2:M2"/>
    </sheetView>
  </sheetViews>
  <sheetFormatPr baseColWidth="10" defaultRowHeight="12.75" x14ac:dyDescent="0.2"/>
  <cols>
    <col min="1" max="1" width="0.85546875" customWidth="1"/>
    <col min="2" max="2" width="10.28515625" customWidth="1"/>
    <col min="3" max="3" width="8.7109375" customWidth="1"/>
    <col min="4" max="4" width="9.7109375" customWidth="1"/>
    <col min="5" max="10" width="8.7109375" customWidth="1"/>
    <col min="11" max="11" width="8.85546875" customWidth="1"/>
    <col min="12" max="14" width="8.7109375" customWidth="1"/>
    <col min="15" max="15" width="10.7109375" customWidth="1"/>
  </cols>
  <sheetData>
    <row r="1" spans="1:15" ht="15.75" customHeight="1" x14ac:dyDescent="0.25">
      <c r="A1" t="s">
        <v>48</v>
      </c>
      <c r="C1" s="12">
        <f>Input!A3</f>
        <v>2024</v>
      </c>
      <c r="D1" s="36" t="s">
        <v>14</v>
      </c>
      <c r="E1" s="36"/>
      <c r="F1" s="36"/>
      <c r="G1" s="36"/>
      <c r="H1" s="36"/>
      <c r="I1" s="36"/>
      <c r="J1" s="36"/>
      <c r="K1" s="36"/>
      <c r="L1" s="36"/>
      <c r="M1" s="36"/>
      <c r="O1" s="3" t="s">
        <v>249</v>
      </c>
    </row>
    <row r="2" spans="1:15" ht="15.75" customHeight="1" x14ac:dyDescent="0.2">
      <c r="D2" s="37" t="str">
        <f>Kenndat!D2</f>
        <v>Produktionsgebiet 1: Alpenvorland</v>
      </c>
      <c r="E2" s="37"/>
      <c r="F2" s="37"/>
      <c r="G2" s="37"/>
      <c r="H2" s="37"/>
      <c r="I2" s="37"/>
      <c r="J2" s="37"/>
      <c r="K2" s="37"/>
      <c r="L2" s="37"/>
      <c r="M2" s="37"/>
    </row>
    <row r="3" spans="1:15" ht="15.75" customHeight="1" x14ac:dyDescent="0.2">
      <c r="D3" s="38" t="s">
        <v>171</v>
      </c>
      <c r="E3" s="38"/>
      <c r="F3" s="38"/>
      <c r="G3" s="38"/>
      <c r="H3" s="38"/>
      <c r="I3" s="38"/>
      <c r="J3" s="38"/>
      <c r="K3" s="38"/>
      <c r="L3" s="38"/>
      <c r="M3" s="38"/>
    </row>
    <row r="4" spans="1:15" ht="3.75" customHeight="1" x14ac:dyDescent="0.2"/>
    <row r="5" spans="1:15" x14ac:dyDescent="0.2">
      <c r="B5" t="s">
        <v>119</v>
      </c>
      <c r="E5" s="3">
        <f>Input!A3</f>
        <v>2024</v>
      </c>
      <c r="F5" s="3">
        <f>+E5-1</f>
        <v>2023</v>
      </c>
      <c r="G5" s="3">
        <f t="shared" ref="G5:N5" si="0">+F5-1</f>
        <v>2022</v>
      </c>
      <c r="H5" s="3">
        <f t="shared" si="0"/>
        <v>2021</v>
      </c>
      <c r="I5" s="3">
        <f t="shared" si="0"/>
        <v>2020</v>
      </c>
      <c r="J5" s="3">
        <f t="shared" si="0"/>
        <v>2019</v>
      </c>
      <c r="K5" s="3">
        <f t="shared" si="0"/>
        <v>2018</v>
      </c>
      <c r="L5" s="3">
        <f t="shared" si="0"/>
        <v>2017</v>
      </c>
      <c r="M5" s="3">
        <f t="shared" si="0"/>
        <v>2016</v>
      </c>
      <c r="N5" s="3">
        <f t="shared" si="0"/>
        <v>2015</v>
      </c>
      <c r="O5" s="3" t="s">
        <v>16</v>
      </c>
    </row>
    <row r="6" spans="1:15" ht="7.5" customHeight="1" x14ac:dyDescent="0.2"/>
    <row r="7" spans="1:15" ht="12" customHeight="1" x14ac:dyDescent="0.2">
      <c r="B7" t="s">
        <v>120</v>
      </c>
      <c r="E7" s="6">
        <f>Input!A37/Input!A$7</f>
        <v>37.262615126713342</v>
      </c>
      <c r="F7" s="6">
        <f>Input!B37/Input!B$7</f>
        <v>37.041313928932148</v>
      </c>
      <c r="G7" s="6">
        <f>Input!C37/Input!C$7</f>
        <v>35.966684418327056</v>
      </c>
      <c r="H7" s="6">
        <f>Input!D37/Input!D$7</f>
        <v>38.549693296602385</v>
      </c>
      <c r="I7" s="6">
        <f>Input!E37/Input!E$7</f>
        <v>44.056384756657486</v>
      </c>
      <c r="J7" s="6">
        <f>Input!F37/Input!F$7</f>
        <v>43.850400074259724</v>
      </c>
      <c r="K7" s="6">
        <f>Input!G37/Input!G$7</f>
        <v>42.232800519818063</v>
      </c>
      <c r="L7" s="6">
        <f>Input!H37/Input!H$7</f>
        <v>41.425509916345518</v>
      </c>
      <c r="M7" s="6">
        <f>Input!I37/Input!I$7</f>
        <v>51.01764193602412</v>
      </c>
      <c r="N7" s="6">
        <f>Input!J37/Input!J$7</f>
        <v>59.270941134583431</v>
      </c>
      <c r="O7" s="6">
        <f>AVERAGE(E7:N7)</f>
        <v>43.067398510826322</v>
      </c>
    </row>
    <row r="8" spans="1:15" ht="12" customHeight="1" x14ac:dyDescent="0.2">
      <c r="B8" t="s">
        <v>121</v>
      </c>
      <c r="E8" s="6">
        <f>Input!A38/Input!A$7</f>
        <v>33.798549452716699</v>
      </c>
      <c r="F8" s="6">
        <f>Input!B38/Input!B$7</f>
        <v>31.602603066752366</v>
      </c>
      <c r="G8" s="6">
        <f>Input!C38/Input!C$7</f>
        <v>29.857655862638875</v>
      </c>
      <c r="H8" s="6">
        <f>Input!D38/Input!D$7</f>
        <v>30.301060606060606</v>
      </c>
      <c r="I8" s="6">
        <f>Input!E38/Input!E$7</f>
        <v>37.048053259871438</v>
      </c>
      <c r="J8" s="6">
        <f>Input!F38/Input!F$7</f>
        <v>37.852844147405548</v>
      </c>
      <c r="K8" s="6">
        <f>Input!G38/Input!G$7</f>
        <v>34.61708623410378</v>
      </c>
      <c r="L8" s="6">
        <f>Input!H38/Input!H$7</f>
        <v>37.948755522135542</v>
      </c>
      <c r="M8" s="6">
        <f>Input!I38/Input!I$7</f>
        <v>38.928553006196623</v>
      </c>
      <c r="N8" s="6">
        <f>Input!J38/Input!J$7</f>
        <v>50.98761333966295</v>
      </c>
      <c r="O8" s="6">
        <f t="shared" ref="O8:O40" si="1">AVERAGE(E8:N8)</f>
        <v>36.294277449754446</v>
      </c>
    </row>
    <row r="9" spans="1:15" ht="12" customHeight="1" x14ac:dyDescent="0.2">
      <c r="B9" t="s">
        <v>122</v>
      </c>
      <c r="E9" s="6">
        <f>Input!A39/Input!A$7</f>
        <v>0.14842914899911253</v>
      </c>
      <c r="F9" s="6">
        <f>Input!B39/Input!B$7</f>
        <v>0.66917087503443207</v>
      </c>
      <c r="G9" s="6">
        <f>Input!C39/Input!C$7</f>
        <v>0.76628133321090808</v>
      </c>
      <c r="H9" s="6">
        <f>Input!D39/Input!D$7</f>
        <v>0.718860422405877</v>
      </c>
      <c r="I9" s="6">
        <f>Input!E39/Input!E$7</f>
        <v>0.72368503213957758</v>
      </c>
      <c r="J9" s="6">
        <f>Input!F39/Input!F$7</f>
        <v>0.52190847489093106</v>
      </c>
      <c r="K9" s="6">
        <f>Input!G39/Input!G$7</f>
        <v>0.42561217859463474</v>
      </c>
      <c r="L9" s="6">
        <f>Input!H39/Input!H$7</f>
        <v>0.41255851113826486</v>
      </c>
      <c r="M9" s="6">
        <f>Input!I39/Input!I$7</f>
        <v>0.60642940880924467</v>
      </c>
      <c r="N9" s="6">
        <f>Input!J39/Input!J$7</f>
        <v>3.3138131972466174</v>
      </c>
      <c r="O9" s="6">
        <f t="shared" si="1"/>
        <v>0.83067485824696008</v>
      </c>
    </row>
    <row r="10" spans="1:15" ht="13.5" customHeight="1" x14ac:dyDescent="0.2">
      <c r="B10" s="4" t="s">
        <v>123</v>
      </c>
      <c r="E10" s="8">
        <f>SUM(E7:E9)</f>
        <v>71.209593728429155</v>
      </c>
      <c r="F10" s="8">
        <f t="shared" ref="F10:N10" si="2">SUM(F7:F9)</f>
        <v>69.313087870718959</v>
      </c>
      <c r="G10" s="8">
        <f t="shared" si="2"/>
        <v>66.59062161417684</v>
      </c>
      <c r="H10" s="8">
        <f t="shared" si="2"/>
        <v>69.569614325068869</v>
      </c>
      <c r="I10" s="8">
        <f t="shared" si="2"/>
        <v>81.828123048668488</v>
      </c>
      <c r="J10" s="8">
        <f t="shared" si="2"/>
        <v>82.225152696556208</v>
      </c>
      <c r="K10" s="8">
        <f t="shared" si="2"/>
        <v>77.275498932516484</v>
      </c>
      <c r="L10" s="8">
        <f t="shared" si="2"/>
        <v>79.786823949619333</v>
      </c>
      <c r="M10" s="8">
        <f t="shared" si="2"/>
        <v>90.552624351029991</v>
      </c>
      <c r="N10" s="8">
        <f t="shared" si="2"/>
        <v>113.572367671493</v>
      </c>
      <c r="O10" s="8">
        <f t="shared" si="1"/>
        <v>80.192350818827748</v>
      </c>
    </row>
    <row r="11" spans="1:15" ht="3" customHeight="1" x14ac:dyDescent="0.2">
      <c r="E11" s="17"/>
      <c r="F11" s="17"/>
      <c r="G11" s="17"/>
      <c r="H11" s="17"/>
      <c r="I11" s="17"/>
      <c r="J11" s="17"/>
      <c r="K11" s="17"/>
      <c r="L11" s="17"/>
      <c r="M11" s="17"/>
      <c r="N11" s="17"/>
      <c r="O11" s="6"/>
    </row>
    <row r="12" spans="1:15" ht="12" customHeight="1" x14ac:dyDescent="0.2">
      <c r="B12" t="s">
        <v>124</v>
      </c>
      <c r="E12" s="6">
        <f>Input!A40/Input!A$7</f>
        <v>45.292755152351837</v>
      </c>
      <c r="F12" s="6">
        <f>Input!B40/Input!B$7</f>
        <v>47.479101092645301</v>
      </c>
      <c r="G12" s="6">
        <f>Input!C40/Input!C$7</f>
        <v>43.573226517307873</v>
      </c>
      <c r="H12" s="6">
        <f>Input!D40/Input!D$7</f>
        <v>49.321617079889812</v>
      </c>
      <c r="I12" s="6">
        <f>Input!E40/Input!E$7</f>
        <v>47.335816345270892</v>
      </c>
      <c r="J12" s="6">
        <f>Input!F40/Input!F$7</f>
        <v>48.515298431263346</v>
      </c>
      <c r="K12" s="6">
        <f>Input!G40/Input!G$7</f>
        <v>46.771086048454464</v>
      </c>
      <c r="L12" s="6">
        <f>Input!H40/Input!H$7</f>
        <v>48.308964188363568</v>
      </c>
      <c r="M12" s="6">
        <f>Input!I40/Input!I$7</f>
        <v>43.028293418187907</v>
      </c>
      <c r="N12" s="6">
        <f>Input!J40/Input!J$7</f>
        <v>53.408979349632091</v>
      </c>
      <c r="O12" s="6">
        <f t="shared" si="1"/>
        <v>47.303513762336706</v>
      </c>
    </row>
    <row r="13" spans="1:15" ht="12" customHeight="1" x14ac:dyDescent="0.2">
      <c r="B13" t="s">
        <v>125</v>
      </c>
      <c r="E13" s="6">
        <f>Input!A41/Input!A$7</f>
        <v>11.771282910955527</v>
      </c>
      <c r="F13" s="6">
        <f>Input!B41/Input!B$7</f>
        <v>12.429310439812689</v>
      </c>
      <c r="G13" s="6">
        <f>Input!C41/Input!C$7</f>
        <v>11.859901753741621</v>
      </c>
      <c r="H13" s="6">
        <f>Input!D41/Input!D$7</f>
        <v>13.641573002754821</v>
      </c>
      <c r="I13" s="6">
        <f>Input!E41/Input!E$7</f>
        <v>13.232956841138659</v>
      </c>
      <c r="J13" s="6">
        <f>Input!F41/Input!F$7</f>
        <v>13.538473034437947</v>
      </c>
      <c r="K13" s="6">
        <f>Input!G41/Input!G$7</f>
        <v>13.448016337139146</v>
      </c>
      <c r="L13" s="6">
        <f>Input!H41/Input!H$7</f>
        <v>13.880403233386595</v>
      </c>
      <c r="M13" s="6">
        <f>Input!I41/Input!I$7</f>
        <v>12.498804220398593</v>
      </c>
      <c r="N13" s="6">
        <f>Input!J41/Input!J$7</f>
        <v>14.322144552575361</v>
      </c>
      <c r="O13" s="6">
        <f t="shared" si="1"/>
        <v>13.062286632634098</v>
      </c>
    </row>
    <row r="14" spans="1:15" ht="12" customHeight="1" x14ac:dyDescent="0.2">
      <c r="B14" t="s">
        <v>126</v>
      </c>
      <c r="E14" s="6">
        <f>Input!A42/Input!A$7</f>
        <v>0</v>
      </c>
      <c r="F14" s="6">
        <f>Input!B42/Input!B$7</f>
        <v>0</v>
      </c>
      <c r="G14" s="6">
        <f>Input!C42/Input!C$7</f>
        <v>0</v>
      </c>
      <c r="H14" s="6">
        <f>Input!D42/Input!D$7</f>
        <v>0</v>
      </c>
      <c r="I14" s="6">
        <f>Input!E42/Input!E$7</f>
        <v>0.39067033976124882</v>
      </c>
      <c r="J14" s="6">
        <f>Input!F42/Input!F$7</f>
        <v>0.38793093845725429</v>
      </c>
      <c r="K14" s="6">
        <f>Input!G42/Input!G$7</f>
        <v>1.460415854450942</v>
      </c>
      <c r="L14" s="6">
        <f>Input!H42/Input!H$7</f>
        <v>1.4430284801203119</v>
      </c>
      <c r="M14" s="6">
        <f>Input!I42/Input!I$7</f>
        <v>0</v>
      </c>
      <c r="N14" s="6">
        <f>Input!J42/Input!J$7</f>
        <v>0</v>
      </c>
      <c r="O14" s="6">
        <f t="shared" si="1"/>
        <v>0.36820456127897572</v>
      </c>
    </row>
    <row r="15" spans="1:15" ht="13.5" customHeight="1" x14ac:dyDescent="0.2">
      <c r="B15" s="4" t="s">
        <v>130</v>
      </c>
      <c r="E15" s="8">
        <f>SUM(E12:E14)</f>
        <v>57.064038063307365</v>
      </c>
      <c r="F15" s="8">
        <f t="shared" ref="F15:N15" si="3">SUM(F12:F14)</f>
        <v>59.90841153245799</v>
      </c>
      <c r="G15" s="8">
        <f t="shared" si="3"/>
        <v>55.433128271049497</v>
      </c>
      <c r="H15" s="8">
        <f t="shared" si="3"/>
        <v>62.96319008264463</v>
      </c>
      <c r="I15" s="8">
        <f t="shared" si="3"/>
        <v>60.959443526170801</v>
      </c>
      <c r="J15" s="8">
        <f t="shared" si="3"/>
        <v>62.441702404158548</v>
      </c>
      <c r="K15" s="8">
        <f t="shared" si="3"/>
        <v>61.679518240044551</v>
      </c>
      <c r="L15" s="8">
        <f t="shared" si="3"/>
        <v>63.632395901870474</v>
      </c>
      <c r="M15" s="8">
        <f t="shared" si="3"/>
        <v>55.527097638586497</v>
      </c>
      <c r="N15" s="8">
        <f t="shared" si="3"/>
        <v>67.731123902207457</v>
      </c>
      <c r="O15" s="8">
        <f t="shared" si="1"/>
        <v>60.734004956249784</v>
      </c>
    </row>
    <row r="16" spans="1:15" ht="3" customHeight="1" x14ac:dyDescent="0.2">
      <c r="E16" s="17"/>
      <c r="F16" s="17"/>
      <c r="G16" s="17"/>
      <c r="H16" s="17"/>
      <c r="I16" s="17"/>
      <c r="J16" s="17"/>
      <c r="K16" s="17"/>
      <c r="L16" s="17"/>
      <c r="M16" s="17"/>
      <c r="N16" s="17"/>
      <c r="O16" s="6"/>
    </row>
    <row r="17" spans="2:15" ht="12" customHeight="1" x14ac:dyDescent="0.2">
      <c r="B17" t="s">
        <v>127</v>
      </c>
      <c r="E17" s="6">
        <f>Input!A43/Input!A$7</f>
        <v>13.659554284587319</v>
      </c>
      <c r="F17" s="6">
        <f>Input!B43/Input!B$7</f>
        <v>11.861453493710403</v>
      </c>
      <c r="G17" s="6">
        <f>Input!C43/Input!C$7</f>
        <v>11.725789183729686</v>
      </c>
      <c r="H17" s="6">
        <f>Input!D43/Input!D$7</f>
        <v>8.8365454545454547</v>
      </c>
      <c r="I17" s="6">
        <f>Input!E43/Input!E$7</f>
        <v>8.9491285583103757</v>
      </c>
      <c r="J17" s="6">
        <f>Input!F43/Input!F$7</f>
        <v>11.245118351434142</v>
      </c>
      <c r="K17" s="6">
        <f>Input!G43/Input!G$7</f>
        <v>11.389022556390978</v>
      </c>
      <c r="L17" s="6">
        <f>Input!H43/Input!H$7</f>
        <v>11.77938716044741</v>
      </c>
      <c r="M17" s="6">
        <f>Input!I43/Input!I$7</f>
        <v>6.2092296097806061</v>
      </c>
      <c r="N17" s="6">
        <f>Input!J43/Input!J$7</f>
        <v>9.2805316876335144</v>
      </c>
      <c r="O17" s="6">
        <f t="shared" si="1"/>
        <v>10.493576034056989</v>
      </c>
    </row>
    <row r="18" spans="2:15" ht="12" customHeight="1" x14ac:dyDescent="0.2">
      <c r="B18" t="s">
        <v>128</v>
      </c>
      <c r="E18" s="6">
        <f>Input!A44/Input!A$7</f>
        <v>23.842765999408343</v>
      </c>
      <c r="F18" s="6">
        <f>Input!B44/Input!B$7</f>
        <v>24.461244146543013</v>
      </c>
      <c r="G18" s="6">
        <f>Input!C44/Input!C$7</f>
        <v>22.563827013130108</v>
      </c>
      <c r="H18" s="6">
        <f>Input!D44/Input!D$7</f>
        <v>21.47607438016529</v>
      </c>
      <c r="I18" s="6">
        <f>Input!E44/Input!E$7</f>
        <v>26.719921946740129</v>
      </c>
      <c r="J18" s="6">
        <f>Input!F44/Input!F$7</f>
        <v>20.058952009653765</v>
      </c>
      <c r="K18" s="6">
        <f>Input!G44/Input!G$7</f>
        <v>18.047049104242085</v>
      </c>
      <c r="L18" s="6">
        <f>Input!H44/Input!H$7</f>
        <v>17.631459723658239</v>
      </c>
      <c r="M18" s="6">
        <f>Input!I44/Input!I$7</f>
        <v>22.084712778429076</v>
      </c>
      <c r="N18" s="6">
        <f>Input!J44/Input!J$7</f>
        <v>42.149366247329695</v>
      </c>
      <c r="O18" s="6">
        <f t="shared" si="1"/>
        <v>23.903537334929972</v>
      </c>
    </row>
    <row r="19" spans="2:15" ht="13.5" customHeight="1" x14ac:dyDescent="0.2">
      <c r="B19" s="4" t="s">
        <v>129</v>
      </c>
      <c r="E19" s="8">
        <f>SUM(E17:E18)</f>
        <v>37.502320283995658</v>
      </c>
      <c r="F19" s="8">
        <f t="shared" ref="F19:N19" si="4">SUM(F17:F18)</f>
        <v>36.322697640253416</v>
      </c>
      <c r="G19" s="8">
        <f t="shared" si="4"/>
        <v>34.289616196859797</v>
      </c>
      <c r="H19" s="8">
        <f t="shared" si="4"/>
        <v>30.312619834710745</v>
      </c>
      <c r="I19" s="8">
        <f t="shared" si="4"/>
        <v>35.669050505050507</v>
      </c>
      <c r="J19" s="8">
        <f t="shared" si="4"/>
        <v>31.304070361087909</v>
      </c>
      <c r="K19" s="8">
        <f t="shared" si="4"/>
        <v>29.436071660633061</v>
      </c>
      <c r="L19" s="8">
        <f t="shared" si="4"/>
        <v>29.410846884105649</v>
      </c>
      <c r="M19" s="8">
        <f t="shared" si="4"/>
        <v>28.293942388209683</v>
      </c>
      <c r="N19" s="8">
        <f t="shared" si="4"/>
        <v>51.429897934963208</v>
      </c>
      <c r="O19" s="8">
        <f t="shared" si="1"/>
        <v>34.397113368986957</v>
      </c>
    </row>
    <row r="20" spans="2:15" ht="3" customHeight="1" x14ac:dyDescent="0.2">
      <c r="E20" s="17"/>
      <c r="F20" s="17"/>
      <c r="G20" s="17"/>
      <c r="H20" s="17"/>
      <c r="I20" s="17"/>
      <c r="J20" s="17"/>
      <c r="K20" s="17"/>
      <c r="L20" s="17"/>
      <c r="M20" s="17"/>
      <c r="N20" s="17"/>
      <c r="O20" s="6"/>
    </row>
    <row r="21" spans="2:15" ht="12" customHeight="1" x14ac:dyDescent="0.2">
      <c r="B21" t="s">
        <v>131</v>
      </c>
      <c r="E21" s="6">
        <f>Input!A45/Input!A$7</f>
        <v>254.69524405877135</v>
      </c>
      <c r="F21" s="6">
        <f>Input!B45/Input!B$7</f>
        <v>217.87670461849234</v>
      </c>
      <c r="G21" s="6">
        <f>Input!C45/Input!C$7</f>
        <v>193.55122670094576</v>
      </c>
      <c r="H21" s="6">
        <f>Input!D45/Input!D$7</f>
        <v>204.96469421487603</v>
      </c>
      <c r="I21" s="6">
        <f>Input!E45/Input!E$7</f>
        <v>182.21271625344352</v>
      </c>
      <c r="J21" s="6">
        <f>Input!F45/Input!F$7</f>
        <v>186.96671679197993</v>
      </c>
      <c r="K21" s="6">
        <f>Input!G45/Input!G$7</f>
        <v>187.46743803954331</v>
      </c>
      <c r="L21" s="6">
        <f>Input!H45/Input!H$7</f>
        <v>178.88203590563023</v>
      </c>
      <c r="M21" s="6">
        <f>Input!I45/Input!I$7</f>
        <v>194.61483336124601</v>
      </c>
      <c r="N21" s="6">
        <f>Input!J45/Input!J$7</f>
        <v>218.50691312603846</v>
      </c>
      <c r="O21" s="6">
        <f t="shared" si="1"/>
        <v>201.97385230709671</v>
      </c>
    </row>
    <row r="22" spans="2:15" ht="12" customHeight="1" x14ac:dyDescent="0.2">
      <c r="B22" t="s">
        <v>132</v>
      </c>
      <c r="E22" s="6">
        <f>Input!A46/Input!A$7</f>
        <v>28.484910758307858</v>
      </c>
      <c r="F22" s="6">
        <f>Input!B46/Input!B$7</f>
        <v>33.20077586998439</v>
      </c>
      <c r="G22" s="6">
        <f>Input!C46/Input!C$7</f>
        <v>21.873773758148928</v>
      </c>
      <c r="H22" s="6">
        <f>Input!D46/Input!D$7</f>
        <v>20.17148852157943</v>
      </c>
      <c r="I22" s="6">
        <f>Input!E46/Input!E$7</f>
        <v>20.236184573002753</v>
      </c>
      <c r="J22" s="6">
        <f>Input!F46/Input!F$7</f>
        <v>20.208758006126427</v>
      </c>
      <c r="K22" s="6">
        <f>Input!G46/Input!G$7</f>
        <v>25.024902069989793</v>
      </c>
      <c r="L22" s="6">
        <f>Input!H46/Input!H$7</f>
        <v>27.218794999530033</v>
      </c>
      <c r="M22" s="6">
        <f>Input!I46/Input!I$7</f>
        <v>22.792116898341988</v>
      </c>
      <c r="N22" s="6">
        <f>Input!J46/Input!J$7</f>
        <v>51.15104201281747</v>
      </c>
      <c r="O22" s="6">
        <f t="shared" si="1"/>
        <v>27.036274746782908</v>
      </c>
    </row>
    <row r="23" spans="2:15" ht="12" customHeight="1" x14ac:dyDescent="0.2">
      <c r="B23" t="s">
        <v>133</v>
      </c>
      <c r="E23" s="6">
        <f>Input!A47/Input!A$7</f>
        <v>3.5157163987772408</v>
      </c>
      <c r="F23" s="6">
        <f>Input!B47/Input!B$7</f>
        <v>2.9053815076668807</v>
      </c>
      <c r="G23" s="6">
        <f>Input!C47/Input!C$7</f>
        <v>4.0227710953998717</v>
      </c>
      <c r="H23" s="6">
        <f>Input!D47/Input!D$7</f>
        <v>2.3431873278236917</v>
      </c>
      <c r="I23" s="6">
        <f>Input!E47/Input!E$7</f>
        <v>1.8896097337006426</v>
      </c>
      <c r="J23" s="6">
        <f>Input!F47/Input!F$7</f>
        <v>1.411334818527801</v>
      </c>
      <c r="K23" s="6">
        <f>Input!G47/Input!G$7</f>
        <v>1.4316606330641419</v>
      </c>
      <c r="L23" s="6">
        <f>Input!H47/Input!H$7</f>
        <v>0.77396559827051403</v>
      </c>
      <c r="M23" s="6">
        <f>Input!I47/Input!I$7</f>
        <v>1.6317451013230615</v>
      </c>
      <c r="N23" s="6">
        <f>Input!J47/Input!J$7</f>
        <v>1.3530928079753144</v>
      </c>
      <c r="O23" s="6">
        <f t="shared" si="1"/>
        <v>2.127846502252916</v>
      </c>
    </row>
    <row r="24" spans="2:15" ht="12" customHeight="1" x14ac:dyDescent="0.2">
      <c r="B24" t="s">
        <v>134</v>
      </c>
      <c r="E24" s="6">
        <f>Input!A48/Input!A$7</f>
        <v>2.5152420865792329</v>
      </c>
      <c r="F24" s="6">
        <f>Input!B48/Input!B$7</f>
        <v>3.5062253236617393</v>
      </c>
      <c r="G24" s="6">
        <f>Input!C48/Input!C$7</f>
        <v>4.756368561197319</v>
      </c>
      <c r="H24" s="6">
        <f>Input!D48/Input!D$7</f>
        <v>5.4620110192837465</v>
      </c>
      <c r="I24" s="6">
        <f>Input!E48/Input!E$7</f>
        <v>5.5896271808999085</v>
      </c>
      <c r="J24" s="6">
        <f>Input!F48/Input!F$7</f>
        <v>2.7321191868560288</v>
      </c>
      <c r="K24" s="6">
        <f>Input!G48/Input!G$7</f>
        <v>7.8204028589993504</v>
      </c>
      <c r="L24" s="6">
        <f>Input!H48/Input!H$7</f>
        <v>8.3648359808252657</v>
      </c>
      <c r="M24" s="6">
        <f>Input!I48/Input!I$7</f>
        <v>0.34235303969184394</v>
      </c>
      <c r="N24" s="6">
        <f>Input!J48/Input!J$7</f>
        <v>1.2850261096605744</v>
      </c>
      <c r="O24" s="6">
        <f t="shared" si="1"/>
        <v>4.2374211347655004</v>
      </c>
    </row>
    <row r="25" spans="2:15" ht="12" customHeight="1" x14ac:dyDescent="0.2">
      <c r="B25" t="s">
        <v>135</v>
      </c>
      <c r="E25" s="6">
        <f>Input!A49/Input!A$7</f>
        <v>7.9745025145449162</v>
      </c>
      <c r="F25" s="6">
        <f>Input!B49/Input!B$7</f>
        <v>22.180432467174732</v>
      </c>
      <c r="G25" s="6">
        <f>Input!C49/Input!C$7</f>
        <v>25.071158754935265</v>
      </c>
      <c r="H25" s="6">
        <f>Input!D49/Input!D$7</f>
        <v>23.361473829201103</v>
      </c>
      <c r="I25" s="6">
        <f>Input!E49/Input!E$7</f>
        <v>21.353825528007345</v>
      </c>
      <c r="J25" s="6">
        <f>Input!F49/Input!F$7</f>
        <v>20.082050496611899</v>
      </c>
      <c r="K25" s="6">
        <f>Input!G49/Input!G$7</f>
        <v>19.481025712429222</v>
      </c>
      <c r="L25" s="6">
        <f>Input!H49/Input!H$7</f>
        <v>19.599984960992575</v>
      </c>
      <c r="M25" s="6">
        <f>Input!I49/Input!I$7</f>
        <v>26.248425724334282</v>
      </c>
      <c r="N25" s="6">
        <f>Input!J49/Input!J$7</f>
        <v>16.253784713980536</v>
      </c>
      <c r="O25" s="6">
        <f t="shared" si="1"/>
        <v>20.160666470221187</v>
      </c>
    </row>
    <row r="26" spans="2:15" ht="13.5" customHeight="1" x14ac:dyDescent="0.2">
      <c r="B26" s="4" t="s">
        <v>136</v>
      </c>
      <c r="E26" s="8">
        <f>SUM(E21:E25)</f>
        <v>297.18561581698054</v>
      </c>
      <c r="F26" s="8">
        <f t="shared" ref="F26:N26" si="5">SUM(F21:F25)</f>
        <v>279.66951978698012</v>
      </c>
      <c r="G26" s="8">
        <f t="shared" si="5"/>
        <v>249.27529887062713</v>
      </c>
      <c r="H26" s="8">
        <f t="shared" si="5"/>
        <v>256.30285491276402</v>
      </c>
      <c r="I26" s="8">
        <f t="shared" si="5"/>
        <v>231.28196326905416</v>
      </c>
      <c r="J26" s="8">
        <f t="shared" si="5"/>
        <v>231.40097930010211</v>
      </c>
      <c r="K26" s="8">
        <f t="shared" si="5"/>
        <v>241.22542931402583</v>
      </c>
      <c r="L26" s="8">
        <f t="shared" si="5"/>
        <v>234.83961744524859</v>
      </c>
      <c r="M26" s="8">
        <f t="shared" si="5"/>
        <v>245.62947412493719</v>
      </c>
      <c r="N26" s="8">
        <f t="shared" si="5"/>
        <v>288.54985877047238</v>
      </c>
      <c r="O26" s="8">
        <f t="shared" si="1"/>
        <v>255.53606116111922</v>
      </c>
    </row>
    <row r="27" spans="2:15" ht="3" customHeight="1" x14ac:dyDescent="0.2">
      <c r="B27" s="4"/>
      <c r="E27" s="8"/>
      <c r="F27" s="8"/>
      <c r="G27" s="8"/>
      <c r="H27" s="8"/>
      <c r="I27" s="8"/>
      <c r="J27" s="8"/>
      <c r="K27" s="8"/>
      <c r="L27" s="8"/>
      <c r="M27" s="8"/>
      <c r="N27" s="8"/>
      <c r="O27" s="6"/>
    </row>
    <row r="28" spans="2:15" ht="12" customHeight="1" x14ac:dyDescent="0.2">
      <c r="B28" t="s">
        <v>137</v>
      </c>
      <c r="E28" s="6">
        <f>Input!A50/Input!A$7</f>
        <v>15.092825165171087</v>
      </c>
      <c r="F28" s="6">
        <f>Input!B50/Input!B$7</f>
        <v>15.914967404278762</v>
      </c>
      <c r="G28" s="6">
        <f>Input!C50/Input!C$7</f>
        <v>15.904197961619685</v>
      </c>
      <c r="H28" s="6">
        <f>Input!D50/Input!D$7</f>
        <v>12.599162534435262</v>
      </c>
      <c r="I28" s="6">
        <f>Input!E50/Input!E$7</f>
        <v>12.77243709825528</v>
      </c>
      <c r="J28" s="6">
        <f>Input!F50/Input!F$7</f>
        <v>12.831713543117051</v>
      </c>
      <c r="K28" s="6">
        <f>Input!G50/Input!G$7</f>
        <v>13.20434883505059</v>
      </c>
      <c r="L28" s="6">
        <f>Input!H50/Input!H$7</f>
        <v>12.22197856941442</v>
      </c>
      <c r="M28" s="6">
        <f>Input!I50/Input!I$7</f>
        <v>13.963975883436609</v>
      </c>
      <c r="N28" s="6">
        <f>Input!J50/Input!J$7</f>
        <v>18.538560408260146</v>
      </c>
      <c r="O28" s="6">
        <f t="shared" si="1"/>
        <v>14.304416740303889</v>
      </c>
    </row>
    <row r="29" spans="2:15" ht="12" customHeight="1" x14ac:dyDescent="0.2">
      <c r="B29" t="s">
        <v>138</v>
      </c>
      <c r="E29" s="6">
        <f>Input!A51/Input!A$7</f>
        <v>1.2780366827729019</v>
      </c>
      <c r="F29" s="6">
        <f>Input!B51/Input!B$7</f>
        <v>1.3666761546230832</v>
      </c>
      <c r="G29" s="6">
        <f>Input!C51/Input!C$7</f>
        <v>1.0332485538518044</v>
      </c>
      <c r="H29" s="6">
        <f>Input!D51/Input!D$7</f>
        <v>0.96441505968778696</v>
      </c>
      <c r="I29" s="6">
        <f>Input!E51/Input!E$7</f>
        <v>1.2146611570247934</v>
      </c>
      <c r="J29" s="6">
        <f>Input!F51/Input!F$7</f>
        <v>1.4567789844982826</v>
      </c>
      <c r="K29" s="6">
        <f>Input!G51/Input!G$7</f>
        <v>1.3925526779912745</v>
      </c>
      <c r="L29" s="6">
        <f>Input!H51/Input!H$7</f>
        <v>1.712359244289877</v>
      </c>
      <c r="M29" s="6">
        <f>Input!I51/Input!I$7</f>
        <v>0.55072014737899844</v>
      </c>
      <c r="N29" s="6">
        <f>Input!J51/Input!J$7</f>
        <v>0.43161642535010686</v>
      </c>
      <c r="O29" s="6">
        <f t="shared" si="1"/>
        <v>1.1401065087468909</v>
      </c>
    </row>
    <row r="30" spans="2:15" ht="13.5" customHeight="1" x14ac:dyDescent="0.2">
      <c r="B30" s="4" t="s">
        <v>139</v>
      </c>
      <c r="E30" s="8">
        <f>SUM(E28:E29)</f>
        <v>16.370861847943988</v>
      </c>
      <c r="F30" s="8">
        <f t="shared" ref="F30:N30" si="6">SUM(F28:F29)</f>
        <v>17.281643558901845</v>
      </c>
      <c r="G30" s="8">
        <f t="shared" si="6"/>
        <v>16.937446515471489</v>
      </c>
      <c r="H30" s="8">
        <f t="shared" si="6"/>
        <v>13.56357759412305</v>
      </c>
      <c r="I30" s="8">
        <f t="shared" si="6"/>
        <v>13.987098255280072</v>
      </c>
      <c r="J30" s="8">
        <f t="shared" si="6"/>
        <v>14.288492527615333</v>
      </c>
      <c r="K30" s="8">
        <f t="shared" si="6"/>
        <v>14.596901513041864</v>
      </c>
      <c r="L30" s="8">
        <f t="shared" si="6"/>
        <v>13.934337813704296</v>
      </c>
      <c r="M30" s="8">
        <f t="shared" si="6"/>
        <v>14.514696030815607</v>
      </c>
      <c r="N30" s="8">
        <f t="shared" si="6"/>
        <v>18.970176833610253</v>
      </c>
      <c r="O30" s="8">
        <f t="shared" si="1"/>
        <v>15.44452324905078</v>
      </c>
    </row>
    <row r="31" spans="2:15" ht="3" customHeight="1" x14ac:dyDescent="0.2">
      <c r="B31" s="4"/>
      <c r="E31" s="8"/>
      <c r="F31" s="8"/>
      <c r="G31" s="8"/>
      <c r="H31" s="8"/>
      <c r="I31" s="8"/>
      <c r="J31" s="8"/>
      <c r="K31" s="8"/>
      <c r="L31" s="8"/>
      <c r="M31" s="8"/>
      <c r="N31" s="8"/>
      <c r="O31" s="6"/>
    </row>
    <row r="32" spans="2:15" ht="12" customHeight="1" x14ac:dyDescent="0.2">
      <c r="B32" t="s">
        <v>140</v>
      </c>
      <c r="E32" s="6">
        <f>Input!A52/Input!A$7</f>
        <v>0.28248989251553103</v>
      </c>
      <c r="F32" s="6">
        <f>Input!B52/Input!B$7</f>
        <v>0.25305940684969241</v>
      </c>
      <c r="G32" s="6">
        <f>Input!C52/Input!C$7</f>
        <v>0.32682031034799375</v>
      </c>
      <c r="H32" s="6">
        <f>Input!D52/Input!D$7</f>
        <v>0.80126170798898066</v>
      </c>
      <c r="I32" s="6">
        <f>Input!E52/Input!E$7</f>
        <v>1.4856877869605143</v>
      </c>
      <c r="J32" s="6">
        <f>Input!F52/Input!F$7</f>
        <v>1.6929267613478141</v>
      </c>
      <c r="K32" s="6">
        <f>Input!G52/Input!G$7</f>
        <v>0.70848602988953868</v>
      </c>
      <c r="L32" s="6">
        <f>Input!H52/Input!H$7</f>
        <v>0.66488297772347016</v>
      </c>
      <c r="M32" s="6">
        <f>Input!I52/Input!I$7</f>
        <v>0.63543627533076541</v>
      </c>
      <c r="N32" s="6">
        <f>Input!J52/Input!J$7</f>
        <v>0.53358533111796813</v>
      </c>
      <c r="O32" s="6">
        <f t="shared" si="1"/>
        <v>0.73846364800722686</v>
      </c>
    </row>
    <row r="33" spans="2:15" ht="12" customHeight="1" x14ac:dyDescent="0.2">
      <c r="B33" t="s">
        <v>141</v>
      </c>
      <c r="E33" s="6">
        <f>Input!A53/Input!A$7</f>
        <v>4.6391233606153239</v>
      </c>
      <c r="F33" s="6">
        <f>Input!B53/Input!B$7</f>
        <v>3.6294325589936647</v>
      </c>
      <c r="G33" s="6">
        <f>Input!C53/Input!C$7</f>
        <v>3.0124350381048575</v>
      </c>
      <c r="H33" s="6">
        <f>Input!D53/Input!D$7</f>
        <v>2.7483994490358126</v>
      </c>
      <c r="I33" s="6">
        <f>Input!E53/Input!E$7</f>
        <v>3.1684205693296601</v>
      </c>
      <c r="J33" s="6">
        <f>Input!F53/Input!F$7</f>
        <v>3.3207639469042975</v>
      </c>
      <c r="K33" s="6">
        <f>Input!G53/Input!G$7</f>
        <v>3.3714712707695162</v>
      </c>
      <c r="L33" s="6">
        <f>Input!H53/Input!H$7</f>
        <v>3.2667741329072282</v>
      </c>
      <c r="M33" s="6">
        <f>Input!I53/Input!I$7</f>
        <v>2.6991910902696366</v>
      </c>
      <c r="N33" s="6">
        <f>Input!J53/Input!J$7</f>
        <v>3.4528898647044861</v>
      </c>
      <c r="O33" s="6">
        <f t="shared" si="1"/>
        <v>3.3308901281634484</v>
      </c>
    </row>
    <row r="34" spans="2:15" ht="12" customHeight="1" x14ac:dyDescent="0.2">
      <c r="B34" t="s">
        <v>142</v>
      </c>
      <c r="E34" s="6">
        <f>Input!A54/Input!A$7</f>
        <v>1.0446573316241003</v>
      </c>
      <c r="F34" s="6">
        <f>Input!B54/Input!B$7</f>
        <v>0.91877605362225689</v>
      </c>
      <c r="G34" s="6">
        <f>Input!C54/Input!C$7</f>
        <v>1.009301257919383</v>
      </c>
      <c r="H34" s="6">
        <f>Input!D54/Input!D$7</f>
        <v>0.93176859504132226</v>
      </c>
      <c r="I34" s="6">
        <f>Input!E54/Input!E$7</f>
        <v>0.91586685032139581</v>
      </c>
      <c r="J34" s="6">
        <f>Input!F54/Input!F$7</f>
        <v>0.87066369627773132</v>
      </c>
      <c r="K34" s="6">
        <f>Input!G54/Input!G$7</f>
        <v>0.87775735635384755</v>
      </c>
      <c r="L34" s="6">
        <f>Input!H54/Input!H$7</f>
        <v>0.9556151893974999</v>
      </c>
      <c r="M34" s="6">
        <f>Input!I54/Input!I$7</f>
        <v>0.94211689834198631</v>
      </c>
      <c r="N34" s="6">
        <f>Input!J54/Input!J$7</f>
        <v>1.8010799905055779</v>
      </c>
      <c r="O34" s="6">
        <f t="shared" si="1"/>
        <v>1.0267603219405101</v>
      </c>
    </row>
    <row r="35" spans="2:15" ht="12" customHeight="1" x14ac:dyDescent="0.2">
      <c r="B35" t="s">
        <v>143</v>
      </c>
      <c r="E35" s="6">
        <f>Input!A55/Input!A$7</f>
        <v>7.8629415245044862</v>
      </c>
      <c r="F35" s="6">
        <f>Input!B55/Input!B$7</f>
        <v>7.9108291249655673</v>
      </c>
      <c r="G35" s="6">
        <f>Input!C55/Input!C$7</f>
        <v>7.3761380956753282</v>
      </c>
      <c r="H35" s="6">
        <f>Input!D55/Input!D$7</f>
        <v>6.7653507805325983</v>
      </c>
      <c r="I35" s="6">
        <f>Input!E55/Input!E$7</f>
        <v>6.8900587695133151</v>
      </c>
      <c r="J35" s="6">
        <f>Input!F55/Input!F$7</f>
        <v>6.4689065255731926</v>
      </c>
      <c r="K35" s="6">
        <f>Input!G55/Input!G$7</f>
        <v>6.4120189362294617</v>
      </c>
      <c r="L35" s="6">
        <f>Input!H55/Input!H$7</f>
        <v>7.1181116646301339</v>
      </c>
      <c r="M35" s="6">
        <f>Input!I55/Input!I$7</f>
        <v>7.1555702562384864</v>
      </c>
      <c r="N35" s="6">
        <f>Input!J55/Input!J$7</f>
        <v>8.4632494659387607</v>
      </c>
      <c r="O35" s="6">
        <f t="shared" si="1"/>
        <v>7.242317514380133</v>
      </c>
    </row>
    <row r="36" spans="2:15" ht="13.5" customHeight="1" x14ac:dyDescent="0.2">
      <c r="B36" s="4" t="s">
        <v>144</v>
      </c>
      <c r="E36" s="8">
        <f>SUM(E32:E35)</f>
        <v>13.829212109259441</v>
      </c>
      <c r="F36" s="8">
        <f t="shared" ref="F36:N36" si="7">SUM(F32:F35)</f>
        <v>12.712097144431182</v>
      </c>
      <c r="G36" s="8">
        <f t="shared" si="7"/>
        <v>11.724694702047563</v>
      </c>
      <c r="H36" s="8">
        <f t="shared" si="7"/>
        <v>11.246780532598713</v>
      </c>
      <c r="I36" s="8">
        <f t="shared" si="7"/>
        <v>12.460033976124885</v>
      </c>
      <c r="J36" s="8">
        <f t="shared" si="7"/>
        <v>12.353260930103035</v>
      </c>
      <c r="K36" s="8">
        <f t="shared" si="7"/>
        <v>11.369733593242366</v>
      </c>
      <c r="L36" s="8">
        <f t="shared" si="7"/>
        <v>12.005383964658332</v>
      </c>
      <c r="M36" s="8">
        <f t="shared" si="7"/>
        <v>11.432314520180874</v>
      </c>
      <c r="N36" s="8">
        <f t="shared" si="7"/>
        <v>14.250804652266794</v>
      </c>
      <c r="O36" s="8">
        <f t="shared" si="1"/>
        <v>12.33843161249132</v>
      </c>
    </row>
    <row r="37" spans="2:15" ht="6" customHeight="1" x14ac:dyDescent="0.2">
      <c r="B37" s="4"/>
      <c r="E37" s="8"/>
      <c r="F37" s="8"/>
      <c r="G37" s="8"/>
      <c r="H37" s="8"/>
      <c r="I37" s="8"/>
      <c r="J37" s="8"/>
      <c r="K37" s="8"/>
      <c r="L37" s="8"/>
      <c r="M37" s="8"/>
      <c r="N37" s="8"/>
      <c r="O37" s="6"/>
    </row>
    <row r="38" spans="2:15" ht="13.5" customHeight="1" x14ac:dyDescent="0.2">
      <c r="B38" s="4" t="s">
        <v>145</v>
      </c>
      <c r="E38" s="8">
        <f>Input!A56/Input!A$7</f>
        <v>20.154497584064689</v>
      </c>
      <c r="F38" s="8">
        <f>Input!B56/Input!B$7</f>
        <v>20.6108869708934</v>
      </c>
      <c r="G38" s="8">
        <f>Input!C56/Input!C$7</f>
        <v>16.781391975025251</v>
      </c>
      <c r="H38" s="8">
        <f>Input!D56/Input!D$7</f>
        <v>15.483386593204774</v>
      </c>
      <c r="I38" s="8">
        <f>Input!E56/Input!E$7</f>
        <v>14.35615243342516</v>
      </c>
      <c r="J38" s="8">
        <f>Input!F56/Input!F$7</f>
        <v>18.190765803397383</v>
      </c>
      <c r="K38" s="8">
        <f>Input!G56/Input!G$7</f>
        <v>18.054392462638077</v>
      </c>
      <c r="L38" s="8">
        <f>Input!H56/Input!H$7</f>
        <v>18.650245323808626</v>
      </c>
      <c r="M38" s="8">
        <f>Input!I56/Input!I$7</f>
        <v>14.270264612292749</v>
      </c>
      <c r="N38" s="8">
        <f>Input!J56/Input!J$7</f>
        <v>19.364846902444814</v>
      </c>
      <c r="O38" s="8">
        <f t="shared" si="1"/>
        <v>17.591683066119494</v>
      </c>
    </row>
    <row r="39" spans="2:15" ht="6" customHeight="1" x14ac:dyDescent="0.2">
      <c r="B39" s="4"/>
      <c r="E39" s="8"/>
      <c r="F39" s="8"/>
      <c r="G39" s="8"/>
      <c r="H39" s="8"/>
      <c r="I39" s="8"/>
      <c r="J39" s="8"/>
      <c r="K39" s="8"/>
      <c r="L39" s="8"/>
      <c r="M39" s="8"/>
      <c r="N39" s="8"/>
      <c r="O39" s="6"/>
    </row>
    <row r="40" spans="2:15" x14ac:dyDescent="0.2">
      <c r="B40" s="9" t="s">
        <v>67</v>
      </c>
      <c r="C40" s="10"/>
      <c r="D40" s="10"/>
      <c r="E40" s="11">
        <f>SUM(E10,E15,E19,E26,E30,E36,E38)</f>
        <v>513.31613943398088</v>
      </c>
      <c r="F40" s="11">
        <f t="shared" ref="F40:N40" si="8">SUM(F10,F15,F19,F26,F30,F36,F38)</f>
        <v>495.81834450463691</v>
      </c>
      <c r="G40" s="11">
        <f t="shared" si="8"/>
        <v>451.03219814525755</v>
      </c>
      <c r="H40" s="11">
        <f t="shared" si="8"/>
        <v>459.44202387511484</v>
      </c>
      <c r="I40" s="11">
        <f t="shared" si="8"/>
        <v>450.54186501377404</v>
      </c>
      <c r="J40" s="11">
        <f t="shared" si="8"/>
        <v>452.20442402302052</v>
      </c>
      <c r="K40" s="11">
        <f t="shared" si="8"/>
        <v>453.63754571614226</v>
      </c>
      <c r="L40" s="11">
        <f t="shared" si="8"/>
        <v>452.25965128301527</v>
      </c>
      <c r="M40" s="11">
        <f t="shared" si="8"/>
        <v>460.22041366605259</v>
      </c>
      <c r="N40" s="11">
        <f t="shared" si="8"/>
        <v>573.86907666745788</v>
      </c>
      <c r="O40" s="11">
        <f t="shared" si="1"/>
        <v>476.23416823284532</v>
      </c>
    </row>
  </sheetData>
  <mergeCells count="3">
    <mergeCell ref="D1:M1"/>
    <mergeCell ref="D2:M2"/>
    <mergeCell ref="D3:M3"/>
  </mergeCells>
  <phoneticPr fontId="0" type="noConversion"/>
  <printOptions horizontalCentered="1"/>
  <pageMargins left="0.78740157480314965" right="0.78740157480314965" top="0.78740157480314965" bottom="0.78740157480314965" header="0.43307086614173229" footer="0.43307086614173229"/>
  <pageSetup paperSize="9" orientation="landscape" horizontalDpi="0" r:id="rId1"/>
  <headerFooter alignWithMargins="0">
    <oddFooter>&amp;L&amp;8BOKU / HVLFÖ&amp;C&amp;8DVR-Nr: 0890723&amp;R&amp;8&amp;D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O34"/>
  <sheetViews>
    <sheetView tabSelected="1" workbookViewId="0">
      <selection activeCell="D3" sqref="D3:M3"/>
    </sheetView>
  </sheetViews>
  <sheetFormatPr baseColWidth="10" defaultRowHeight="12.75" x14ac:dyDescent="0.2"/>
  <cols>
    <col min="1" max="1" width="0.85546875" customWidth="1"/>
    <col min="2" max="2" width="10.28515625" customWidth="1"/>
    <col min="3" max="3" width="8.85546875" customWidth="1"/>
    <col min="4" max="4" width="9.7109375" customWidth="1"/>
    <col min="5" max="14" width="9" customWidth="1"/>
    <col min="15" max="15" width="10.7109375" customWidth="1"/>
  </cols>
  <sheetData>
    <row r="1" spans="1:15" ht="15.75" customHeight="1" x14ac:dyDescent="0.25">
      <c r="A1" t="s">
        <v>48</v>
      </c>
      <c r="C1" s="12">
        <f>Input!A3</f>
        <v>2024</v>
      </c>
      <c r="D1" s="36" t="s">
        <v>258</v>
      </c>
      <c r="E1" s="36"/>
      <c r="F1" s="36"/>
      <c r="G1" s="36"/>
      <c r="H1" s="36"/>
      <c r="I1" s="36"/>
      <c r="J1" s="36"/>
      <c r="K1" s="36"/>
      <c r="L1" s="36"/>
      <c r="M1" s="36"/>
      <c r="O1" s="3" t="s">
        <v>259</v>
      </c>
    </row>
    <row r="2" spans="1:15" ht="15.75" customHeight="1" x14ac:dyDescent="0.2">
      <c r="D2" s="37" t="str">
        <f>Input!O2</f>
        <v>Produktionsgebiet 1: Alpenvorland</v>
      </c>
      <c r="E2" s="37"/>
      <c r="F2" s="37"/>
      <c r="G2" s="37"/>
      <c r="H2" s="37"/>
      <c r="I2" s="37"/>
      <c r="J2" s="37"/>
      <c r="K2" s="37"/>
      <c r="L2" s="37"/>
      <c r="M2" s="37"/>
    </row>
    <row r="3" spans="1:15" ht="15.75" customHeight="1" x14ac:dyDescent="0.2">
      <c r="D3" s="38"/>
      <c r="E3" s="38"/>
      <c r="F3" s="38"/>
      <c r="G3" s="38"/>
      <c r="H3" s="38"/>
      <c r="I3" s="38"/>
      <c r="J3" s="38"/>
      <c r="K3" s="38"/>
      <c r="L3" s="38"/>
      <c r="M3" s="38"/>
    </row>
    <row r="4" spans="1:15" ht="36" customHeight="1" x14ac:dyDescent="0.2"/>
    <row r="5" spans="1:15" x14ac:dyDescent="0.2">
      <c r="E5" s="3">
        <f>Input!A3</f>
        <v>2024</v>
      </c>
      <c r="F5" s="3">
        <f t="shared" ref="F5:N5" si="0">+E5-1</f>
        <v>2023</v>
      </c>
      <c r="G5" s="3">
        <f t="shared" si="0"/>
        <v>2022</v>
      </c>
      <c r="H5" s="3">
        <f t="shared" si="0"/>
        <v>2021</v>
      </c>
      <c r="I5" s="3">
        <f t="shared" si="0"/>
        <v>2020</v>
      </c>
      <c r="J5" s="3">
        <f t="shared" si="0"/>
        <v>2019</v>
      </c>
      <c r="K5" s="3">
        <f t="shared" si="0"/>
        <v>2018</v>
      </c>
      <c r="L5" s="3">
        <f t="shared" si="0"/>
        <v>2017</v>
      </c>
      <c r="M5" s="3">
        <f t="shared" si="0"/>
        <v>2016</v>
      </c>
      <c r="N5" s="3">
        <f t="shared" si="0"/>
        <v>2015</v>
      </c>
      <c r="O5" s="3" t="s">
        <v>16</v>
      </c>
    </row>
    <row r="6" spans="1:15" ht="12.75" customHeight="1" x14ac:dyDescent="0.2">
      <c r="A6" s="4"/>
      <c r="E6" s="3"/>
      <c r="F6" s="3"/>
      <c r="G6" s="3"/>
      <c r="H6" s="3"/>
      <c r="I6" s="3"/>
      <c r="J6" s="3"/>
      <c r="K6" s="3"/>
      <c r="L6" s="3"/>
      <c r="M6" s="3"/>
      <c r="N6" s="3"/>
      <c r="O6" s="3"/>
    </row>
    <row r="7" spans="1:15" ht="12" customHeight="1" x14ac:dyDescent="0.2">
      <c r="B7" t="s">
        <v>260</v>
      </c>
      <c r="E7" s="20">
        <f>Input!A1</f>
        <v>4</v>
      </c>
      <c r="F7" s="20">
        <f>Input!B1</f>
        <v>5</v>
      </c>
      <c r="G7" s="20">
        <f>Input!C1</f>
        <v>5</v>
      </c>
      <c r="H7" s="20">
        <f>Input!D1</f>
        <v>5</v>
      </c>
      <c r="I7" s="20">
        <f>Input!E1</f>
        <v>5</v>
      </c>
      <c r="J7" s="20">
        <f>Input!F1</f>
        <v>5</v>
      </c>
      <c r="K7" s="20">
        <f>Input!G1</f>
        <v>5</v>
      </c>
      <c r="L7" s="20">
        <f>Input!H1</f>
        <v>5</v>
      </c>
      <c r="M7" s="20">
        <f>Input!I1</f>
        <v>3</v>
      </c>
      <c r="N7" s="20">
        <f>Input!J1</f>
        <v>4</v>
      </c>
      <c r="O7" s="6">
        <f>AVERAGE(E7:N7)</f>
        <v>4.5999999999999996</v>
      </c>
    </row>
    <row r="8" spans="1:15" ht="12" customHeight="1" x14ac:dyDescent="0.2">
      <c r="E8" s="20"/>
      <c r="F8" s="20"/>
      <c r="G8" s="20"/>
      <c r="H8" s="20"/>
      <c r="I8" s="20"/>
      <c r="J8" s="20"/>
      <c r="K8" s="20"/>
      <c r="L8" s="20"/>
      <c r="M8" s="20"/>
      <c r="N8" s="20"/>
      <c r="O8" s="6"/>
    </row>
    <row r="9" spans="1:15" ht="12" customHeight="1" x14ac:dyDescent="0.2">
      <c r="B9" t="s">
        <v>261</v>
      </c>
      <c r="E9" s="20">
        <f>IF(Input!A123=0,"***",Input!A123)</f>
        <v>11095</v>
      </c>
      <c r="F9" s="20">
        <f>IF(Input!B123=0,"***",Input!B123)</f>
        <v>11847</v>
      </c>
      <c r="G9" s="20">
        <f>IF(Input!C123=0,"***",Input!C123)</f>
        <v>11847</v>
      </c>
      <c r="H9" s="20">
        <f>IF(Input!D123=0,"***",Input!D123)</f>
        <v>11846</v>
      </c>
      <c r="I9" s="20">
        <f>IF(Input!E123=0,"***",Input!E123)</f>
        <v>11846</v>
      </c>
      <c r="J9" s="20">
        <f>IF(Input!F123=0,"***",Input!F123)</f>
        <v>11732</v>
      </c>
      <c r="K9" s="20">
        <f>IF(Input!G123=0,"***",Input!G123)</f>
        <v>11732</v>
      </c>
      <c r="L9" s="20">
        <f>IF(Input!H123=0,"***",Input!H123)</f>
        <v>11598</v>
      </c>
      <c r="M9" s="20">
        <f>IF(Input!I123=0,"***",Input!I123)</f>
        <v>6201</v>
      </c>
      <c r="N9" s="20">
        <f>IF(Input!J123=0,"***",Input!J123)</f>
        <v>8656</v>
      </c>
      <c r="O9" s="20">
        <f>AVERAGE(E9:N9)</f>
        <v>10840</v>
      </c>
    </row>
    <row r="10" spans="1:15" ht="12" customHeight="1" x14ac:dyDescent="0.2">
      <c r="B10" t="s">
        <v>262</v>
      </c>
      <c r="E10" s="20">
        <f>IF(Input!A123=0,"***",E9/E7)</f>
        <v>2773.75</v>
      </c>
      <c r="F10" s="20">
        <f>IF(Input!B123=0,"***",F9/F7)</f>
        <v>2369.4</v>
      </c>
      <c r="G10" s="20">
        <f>IF(Input!C123=0,"***",G9/G7)</f>
        <v>2369.4</v>
      </c>
      <c r="H10" s="20">
        <f>IF(Input!D123=0,"***",H9/H7)</f>
        <v>2369.1999999999998</v>
      </c>
      <c r="I10" s="20">
        <f>IF(Input!E123=0,"***",I9/I7)</f>
        <v>2369.1999999999998</v>
      </c>
      <c r="J10" s="20">
        <f>IF(Input!F123=0,"***",J9/J7)</f>
        <v>2346.4</v>
      </c>
      <c r="K10" s="20">
        <f>IF(Input!G123=0,"***",K9/K7)</f>
        <v>2346.4</v>
      </c>
      <c r="L10" s="20">
        <f>IF(Input!H123=0,"***",L9/L7)</f>
        <v>2319.6</v>
      </c>
      <c r="M10" s="20">
        <f>IF(Input!I123=0,"***",M9/M7)</f>
        <v>2067</v>
      </c>
      <c r="N10" s="20">
        <f>IF(Input!J123=0,"***",N9/N7)</f>
        <v>2164</v>
      </c>
      <c r="O10" s="20">
        <f>AVERAGE(E10:N10)</f>
        <v>2349.4349999999999</v>
      </c>
    </row>
    <row r="11" spans="1:15" ht="12" customHeight="1" x14ac:dyDescent="0.2">
      <c r="E11" s="20"/>
      <c r="F11" s="20"/>
      <c r="G11" s="20"/>
      <c r="H11" s="20"/>
      <c r="I11" s="20"/>
      <c r="J11" s="20"/>
      <c r="K11" s="20"/>
      <c r="L11" s="20"/>
      <c r="M11" s="20"/>
      <c r="N11" s="20"/>
      <c r="O11" s="20"/>
    </row>
    <row r="12" spans="1:15" ht="12" customHeight="1" x14ac:dyDescent="0.2">
      <c r="B12" t="s">
        <v>263</v>
      </c>
      <c r="E12" s="20">
        <f>Input!A7</f>
        <v>10141</v>
      </c>
      <c r="F12" s="20">
        <f>Input!B7</f>
        <v>10891</v>
      </c>
      <c r="G12" s="20">
        <f>Input!C7</f>
        <v>10891</v>
      </c>
      <c r="H12" s="20">
        <f>Input!D7</f>
        <v>10890</v>
      </c>
      <c r="I12" s="20">
        <f>Input!E7</f>
        <v>10890</v>
      </c>
      <c r="J12" s="20">
        <f>Input!F7</f>
        <v>10773</v>
      </c>
      <c r="K12" s="20">
        <f>Input!G7</f>
        <v>10773</v>
      </c>
      <c r="L12" s="20">
        <f>Input!H7</f>
        <v>10639</v>
      </c>
      <c r="M12" s="20">
        <f>Input!I7</f>
        <v>5971</v>
      </c>
      <c r="N12" s="20">
        <f>Input!J7</f>
        <v>8426</v>
      </c>
      <c r="O12" s="20">
        <f>AVERAGE(E12:N12)</f>
        <v>10028.5</v>
      </c>
    </row>
    <row r="13" spans="1:15" ht="12" customHeight="1" x14ac:dyDescent="0.2">
      <c r="B13" t="s">
        <v>264</v>
      </c>
      <c r="E13" s="20">
        <f t="shared" ref="E13:N13" si="1">+E12/E7</f>
        <v>2535.25</v>
      </c>
      <c r="F13" s="20">
        <f t="shared" si="1"/>
        <v>2178.1999999999998</v>
      </c>
      <c r="G13" s="20">
        <f t="shared" si="1"/>
        <v>2178.1999999999998</v>
      </c>
      <c r="H13" s="20">
        <f t="shared" si="1"/>
        <v>2178</v>
      </c>
      <c r="I13" s="20">
        <f t="shared" si="1"/>
        <v>2178</v>
      </c>
      <c r="J13" s="20">
        <f t="shared" si="1"/>
        <v>2154.6</v>
      </c>
      <c r="K13" s="20">
        <f t="shared" si="1"/>
        <v>2154.6</v>
      </c>
      <c r="L13" s="20">
        <f t="shared" si="1"/>
        <v>2127.8000000000002</v>
      </c>
      <c r="M13" s="20">
        <f t="shared" si="1"/>
        <v>1990.3333333333333</v>
      </c>
      <c r="N13" s="20">
        <f t="shared" si="1"/>
        <v>2106.5</v>
      </c>
      <c r="O13" s="20">
        <f>AVERAGE(E13:N13)</f>
        <v>2178.1483333333335</v>
      </c>
    </row>
    <row r="14" spans="1:15" ht="12" customHeight="1" x14ac:dyDescent="0.2">
      <c r="E14" s="20"/>
      <c r="F14" s="20"/>
      <c r="G14" s="20"/>
      <c r="H14" s="20"/>
      <c r="I14" s="20"/>
      <c r="J14" s="20"/>
      <c r="K14" s="20"/>
      <c r="L14" s="20"/>
      <c r="M14" s="20"/>
      <c r="N14" s="20"/>
      <c r="O14" s="20"/>
    </row>
    <row r="15" spans="1:15" ht="12" customHeight="1" x14ac:dyDescent="0.2">
      <c r="B15" t="s">
        <v>265</v>
      </c>
      <c r="E15" s="20">
        <f>Input!A5</f>
        <v>66000</v>
      </c>
      <c r="F15" s="20">
        <f>Input!B5</f>
        <v>72600</v>
      </c>
      <c r="G15" s="20">
        <f>Input!C5</f>
        <v>72600</v>
      </c>
      <c r="H15" s="20">
        <f>Input!D5</f>
        <v>72600</v>
      </c>
      <c r="I15" s="20">
        <f>Input!E5</f>
        <v>77600</v>
      </c>
      <c r="J15" s="20">
        <f>Input!F5</f>
        <v>80400</v>
      </c>
      <c r="K15" s="20">
        <f>Input!G5</f>
        <v>81400</v>
      </c>
      <c r="L15" s="20">
        <f>Input!H5</f>
        <v>82400</v>
      </c>
      <c r="M15" s="20">
        <f>Input!I5</f>
        <v>48700</v>
      </c>
      <c r="N15" s="20">
        <f>Input!J5</f>
        <v>68700</v>
      </c>
      <c r="O15" s="20">
        <f>AVERAGE(E15:N15)</f>
        <v>72300</v>
      </c>
    </row>
    <row r="16" spans="1:15" ht="12" customHeight="1" x14ac:dyDescent="0.2">
      <c r="B16" t="s">
        <v>266</v>
      </c>
      <c r="E16" s="20">
        <f t="shared" ref="E16:N16" si="2">+E15/E7</f>
        <v>16500</v>
      </c>
      <c r="F16" s="20">
        <f t="shared" si="2"/>
        <v>14520</v>
      </c>
      <c r="G16" s="20">
        <f t="shared" si="2"/>
        <v>14520</v>
      </c>
      <c r="H16" s="20">
        <f t="shared" si="2"/>
        <v>14520</v>
      </c>
      <c r="I16" s="20">
        <f t="shared" si="2"/>
        <v>15520</v>
      </c>
      <c r="J16" s="20">
        <f t="shared" si="2"/>
        <v>16080</v>
      </c>
      <c r="K16" s="20">
        <f t="shared" si="2"/>
        <v>16280</v>
      </c>
      <c r="L16" s="20">
        <f t="shared" si="2"/>
        <v>16480</v>
      </c>
      <c r="M16" s="20">
        <f t="shared" si="2"/>
        <v>16233.333333333334</v>
      </c>
      <c r="N16" s="20">
        <f t="shared" si="2"/>
        <v>17175</v>
      </c>
      <c r="O16" s="20">
        <f>AVERAGE(E16:N16)</f>
        <v>15782.833333333334</v>
      </c>
    </row>
    <row r="17" spans="2:15" ht="12" customHeight="1" x14ac:dyDescent="0.2">
      <c r="B17" t="s">
        <v>267</v>
      </c>
      <c r="E17" s="6">
        <f>+E15/E12</f>
        <v>6.5082339019820532</v>
      </c>
      <c r="F17" s="6">
        <f t="shared" ref="F17:N17" si="3">+F15/F12</f>
        <v>6.6660545404462397</v>
      </c>
      <c r="G17" s="6">
        <f t="shared" si="3"/>
        <v>6.6660545404462397</v>
      </c>
      <c r="H17" s="6">
        <f t="shared" si="3"/>
        <v>6.666666666666667</v>
      </c>
      <c r="I17" s="6">
        <f t="shared" si="3"/>
        <v>7.1258034894398534</v>
      </c>
      <c r="J17" s="6">
        <f t="shared" si="3"/>
        <v>7.4631021999443048</v>
      </c>
      <c r="K17" s="6">
        <f t="shared" si="3"/>
        <v>7.5559268541724682</v>
      </c>
      <c r="L17" s="6">
        <f t="shared" si="3"/>
        <v>7.745088824137607</v>
      </c>
      <c r="M17" s="6">
        <f t="shared" si="3"/>
        <v>8.1560877574945572</v>
      </c>
      <c r="N17" s="6">
        <f t="shared" si="3"/>
        <v>8.1533349157370036</v>
      </c>
      <c r="O17" s="6">
        <f>AVERAGE(E17:N17)</f>
        <v>7.2706353690466994</v>
      </c>
    </row>
    <row r="18" spans="2:15" ht="12" customHeight="1" x14ac:dyDescent="0.2">
      <c r="B18" t="s">
        <v>268</v>
      </c>
      <c r="E18" s="6">
        <f t="shared" ref="E18:M18" si="4">+(E17-F17)/F17*100</f>
        <v>-2.3675269607623348</v>
      </c>
      <c r="F18" s="6">
        <f t="shared" si="4"/>
        <v>0</v>
      </c>
      <c r="G18" s="6">
        <f t="shared" si="4"/>
        <v>-9.1818933064091723E-3</v>
      </c>
      <c r="H18" s="6">
        <f t="shared" si="4"/>
        <v>-6.443298969072166</v>
      </c>
      <c r="I18" s="6">
        <f t="shared" si="4"/>
        <v>-4.5195510053040486</v>
      </c>
      <c r="J18" s="6">
        <f t="shared" si="4"/>
        <v>-1.2285012285012342</v>
      </c>
      <c r="K18" s="6">
        <f t="shared" si="4"/>
        <v>-2.4423473282270769</v>
      </c>
      <c r="L18" s="6">
        <f t="shared" si="4"/>
        <v>-5.0391676202758706</v>
      </c>
      <c r="M18" s="6">
        <f t="shared" si="4"/>
        <v>3.3763383768771485E-2</v>
      </c>
      <c r="N18" s="6">
        <f>+(N17-(Input!K5/Input!K7))/(Input!K5/Input!K7)*100</f>
        <v>7.3087788889294885</v>
      </c>
      <c r="O18" s="6">
        <f>AVERAGE(E18:N18)</f>
        <v>-1.4707032732750882</v>
      </c>
    </row>
    <row r="19" spans="2:15" ht="12" customHeight="1" x14ac:dyDescent="0.2">
      <c r="E19" s="22"/>
      <c r="F19" s="22"/>
      <c r="G19" s="22"/>
      <c r="H19" s="22"/>
      <c r="I19" s="22"/>
      <c r="J19" s="22"/>
      <c r="K19" s="22"/>
      <c r="L19" s="22"/>
      <c r="M19" s="22"/>
      <c r="N19" s="22"/>
      <c r="O19" s="22"/>
    </row>
    <row r="20" spans="2:15" ht="12" customHeight="1" x14ac:dyDescent="0.2">
      <c r="B20" t="s">
        <v>269</v>
      </c>
      <c r="E20" s="20">
        <f>Input!A6</f>
        <v>64973</v>
      </c>
      <c r="F20" s="20">
        <f>Input!B6</f>
        <v>69697</v>
      </c>
      <c r="G20" s="20">
        <f>Input!C6</f>
        <v>79688</v>
      </c>
      <c r="H20" s="20">
        <f>Input!D6</f>
        <v>78303</v>
      </c>
      <c r="I20" s="20">
        <f>Input!E6</f>
        <v>75945.36</v>
      </c>
      <c r="J20" s="20">
        <f>Input!F6</f>
        <v>85053.95</v>
      </c>
      <c r="K20" s="20">
        <f>Input!G6</f>
        <v>84356.57</v>
      </c>
      <c r="L20" s="20">
        <f>Input!H6</f>
        <v>81895</v>
      </c>
      <c r="M20" s="20">
        <f>Input!I6</f>
        <v>48068.51</v>
      </c>
      <c r="N20" s="20">
        <f>Input!J6</f>
        <v>80494</v>
      </c>
      <c r="O20" s="20">
        <f>AVERAGE(E20:N20)</f>
        <v>74847.438999999998</v>
      </c>
    </row>
    <row r="21" spans="2:15" ht="12" customHeight="1" x14ac:dyDescent="0.2">
      <c r="B21" t="s">
        <v>270</v>
      </c>
      <c r="E21" s="20">
        <f t="shared" ref="E21:N21" si="5">+E20/E7</f>
        <v>16243.25</v>
      </c>
      <c r="F21" s="20">
        <f t="shared" si="5"/>
        <v>13939.4</v>
      </c>
      <c r="G21" s="20">
        <f t="shared" si="5"/>
        <v>15937.6</v>
      </c>
      <c r="H21" s="20">
        <f t="shared" si="5"/>
        <v>15660.6</v>
      </c>
      <c r="I21" s="20">
        <f t="shared" si="5"/>
        <v>15189.072</v>
      </c>
      <c r="J21" s="20">
        <f t="shared" si="5"/>
        <v>17010.79</v>
      </c>
      <c r="K21" s="20">
        <f t="shared" si="5"/>
        <v>16871.314000000002</v>
      </c>
      <c r="L21" s="20">
        <f t="shared" si="5"/>
        <v>16379</v>
      </c>
      <c r="M21" s="20">
        <f t="shared" si="5"/>
        <v>16022.836666666668</v>
      </c>
      <c r="N21" s="20">
        <f t="shared" si="5"/>
        <v>20123.5</v>
      </c>
      <c r="O21" s="20">
        <f>AVERAGE(E21:N21)</f>
        <v>16337.736266666665</v>
      </c>
    </row>
    <row r="22" spans="2:15" ht="12" customHeight="1" x14ac:dyDescent="0.2">
      <c r="B22" t="s">
        <v>271</v>
      </c>
      <c r="E22" s="6">
        <f>+E20/E12</f>
        <v>6.4069618380830295</v>
      </c>
      <c r="F22" s="6">
        <f t="shared" ref="F22:N22" si="6">+F20/F12</f>
        <v>6.3995041777614547</v>
      </c>
      <c r="G22" s="6">
        <f t="shared" si="6"/>
        <v>7.3168671380038566</v>
      </c>
      <c r="H22" s="6">
        <f t="shared" si="6"/>
        <v>7.1903581267217627</v>
      </c>
      <c r="I22" s="6">
        <f t="shared" si="6"/>
        <v>6.9738622589531678</v>
      </c>
      <c r="J22" s="6">
        <f t="shared" si="6"/>
        <v>7.8951034994894638</v>
      </c>
      <c r="K22" s="6">
        <f t="shared" si="6"/>
        <v>7.8303694421238283</v>
      </c>
      <c r="L22" s="6">
        <f t="shared" si="6"/>
        <v>7.6976219569508411</v>
      </c>
      <c r="M22" s="6">
        <f t="shared" si="6"/>
        <v>8.0503282532239151</v>
      </c>
      <c r="N22" s="6">
        <f t="shared" si="6"/>
        <v>9.553050083076192</v>
      </c>
      <c r="O22" s="6">
        <f>AVERAGE(E22:N22)</f>
        <v>7.5314026774387504</v>
      </c>
    </row>
    <row r="23" spans="2:15" ht="12" customHeight="1" x14ac:dyDescent="0.2">
      <c r="B23" t="s">
        <v>272</v>
      </c>
      <c r="E23" s="6">
        <f t="shared" ref="E23:M23" si="7">+(E22-F22)/F22*100</f>
        <v>0.11653497074805393</v>
      </c>
      <c r="F23" s="6">
        <f t="shared" si="7"/>
        <v>-12.537646822608171</v>
      </c>
      <c r="G23" s="6">
        <f t="shared" si="7"/>
        <v>1.7594257344699473</v>
      </c>
      <c r="H23" s="6">
        <f t="shared" si="7"/>
        <v>3.1043897876051916</v>
      </c>
      <c r="I23" s="6">
        <f t="shared" si="7"/>
        <v>-11.668513789538896</v>
      </c>
      <c r="J23" s="6">
        <f t="shared" si="7"/>
        <v>0.82670502131605206</v>
      </c>
      <c r="K23" s="6">
        <f t="shared" si="7"/>
        <v>1.7245259109291311</v>
      </c>
      <c r="L23" s="6">
        <f t="shared" si="7"/>
        <v>-4.3812660202001794</v>
      </c>
      <c r="M23" s="6">
        <f t="shared" si="7"/>
        <v>-15.730283174317696</v>
      </c>
      <c r="N23" s="6">
        <f>+(N22-(Input!K6/Input!K7))/(Input!K6/Input!K7)*100</f>
        <v>11.650514347224069</v>
      </c>
      <c r="O23" s="6">
        <f>AVERAGE(E23:N23)</f>
        <v>-2.51356140343725</v>
      </c>
    </row>
    <row r="24" spans="2:15" ht="12" customHeight="1" x14ac:dyDescent="0.2">
      <c r="E24" s="22"/>
      <c r="F24" s="22"/>
      <c r="G24" s="22"/>
      <c r="H24" s="22"/>
      <c r="I24" s="22"/>
      <c r="J24" s="22"/>
      <c r="K24" s="22"/>
      <c r="L24" s="22"/>
      <c r="M24" s="22"/>
      <c r="N24" s="22"/>
      <c r="O24" s="22"/>
    </row>
    <row r="25" spans="2:15" ht="12" customHeight="1" x14ac:dyDescent="0.2">
      <c r="B25" t="s">
        <v>273</v>
      </c>
      <c r="E25" s="20">
        <f>+E20-E15</f>
        <v>-1027</v>
      </c>
      <c r="F25" s="20">
        <f t="shared" ref="F25:N25" si="8">+F20-F15</f>
        <v>-2903</v>
      </c>
      <c r="G25" s="20">
        <f t="shared" si="8"/>
        <v>7088</v>
      </c>
      <c r="H25" s="20">
        <f t="shared" si="8"/>
        <v>5703</v>
      </c>
      <c r="I25" s="20">
        <f t="shared" si="8"/>
        <v>-1654.6399999999994</v>
      </c>
      <c r="J25" s="20">
        <f t="shared" si="8"/>
        <v>4653.9499999999971</v>
      </c>
      <c r="K25" s="20">
        <f t="shared" si="8"/>
        <v>2956.570000000007</v>
      </c>
      <c r="L25" s="20">
        <f t="shared" si="8"/>
        <v>-505</v>
      </c>
      <c r="M25" s="20">
        <f t="shared" si="8"/>
        <v>-631.48999999999796</v>
      </c>
      <c r="N25" s="20">
        <f t="shared" si="8"/>
        <v>11794</v>
      </c>
      <c r="O25" s="20">
        <f>AVERAGE(E25:N25)</f>
        <v>2547.4390000000008</v>
      </c>
    </row>
    <row r="26" spans="2:15" ht="12" customHeight="1" x14ac:dyDescent="0.2">
      <c r="B26" t="s">
        <v>274</v>
      </c>
      <c r="E26" s="20">
        <f t="shared" ref="E26:N26" si="9">+E25/E7</f>
        <v>-256.75</v>
      </c>
      <c r="F26" s="20">
        <f t="shared" si="9"/>
        <v>-580.6</v>
      </c>
      <c r="G26" s="20">
        <f t="shared" si="9"/>
        <v>1417.6</v>
      </c>
      <c r="H26" s="20">
        <f t="shared" si="9"/>
        <v>1140.5999999999999</v>
      </c>
      <c r="I26" s="20">
        <f t="shared" si="9"/>
        <v>-330.92799999999988</v>
      </c>
      <c r="J26" s="20">
        <f t="shared" si="9"/>
        <v>930.7899999999994</v>
      </c>
      <c r="K26" s="20">
        <f t="shared" si="9"/>
        <v>591.31400000000144</v>
      </c>
      <c r="L26" s="20">
        <f t="shared" si="9"/>
        <v>-101</v>
      </c>
      <c r="M26" s="20">
        <f t="shared" si="9"/>
        <v>-210.49666666666599</v>
      </c>
      <c r="N26" s="20">
        <f t="shared" si="9"/>
        <v>2948.5</v>
      </c>
      <c r="O26" s="20">
        <f>AVERAGE(E26:N26)</f>
        <v>554.90293333333352</v>
      </c>
    </row>
    <row r="27" spans="2:15" ht="12" customHeight="1" x14ac:dyDescent="0.2">
      <c r="B27" t="s">
        <v>275</v>
      </c>
      <c r="E27" s="6">
        <f>+E25/E12</f>
        <v>-0.10127206389902377</v>
      </c>
      <c r="F27" s="6">
        <f t="shared" ref="F27:N27" si="10">+F25/F12</f>
        <v>-0.2665503626847856</v>
      </c>
      <c r="G27" s="6">
        <f t="shared" si="10"/>
        <v>0.65081259755761633</v>
      </c>
      <c r="H27" s="6">
        <f t="shared" si="10"/>
        <v>0.52369146005509637</v>
      </c>
      <c r="I27" s="6">
        <f t="shared" si="10"/>
        <v>-0.15194123048668498</v>
      </c>
      <c r="J27" s="6">
        <f t="shared" si="10"/>
        <v>0.43200129954515892</v>
      </c>
      <c r="K27" s="6">
        <f t="shared" si="10"/>
        <v>0.27444258795136051</v>
      </c>
      <c r="L27" s="6">
        <f t="shared" si="10"/>
        <v>-4.7466867186765675E-2</v>
      </c>
      <c r="M27" s="6">
        <f t="shared" si="10"/>
        <v>-0.1057595042706411</v>
      </c>
      <c r="N27" s="6">
        <f t="shared" si="10"/>
        <v>1.3997151673391883</v>
      </c>
      <c r="O27" s="6">
        <f>AVERAGE(E27:N27)</f>
        <v>0.26076730839205198</v>
      </c>
    </row>
    <row r="28" spans="2:15" ht="12" customHeight="1" x14ac:dyDescent="0.2">
      <c r="E28" s="22"/>
      <c r="F28" s="22"/>
      <c r="G28" s="22"/>
      <c r="H28" s="22"/>
      <c r="I28" s="22"/>
      <c r="J28" s="22"/>
      <c r="K28" s="22"/>
      <c r="L28" s="22"/>
      <c r="M28" s="22"/>
      <c r="N28" s="22"/>
      <c r="O28" s="22"/>
    </row>
    <row r="29" spans="2:15" ht="12" customHeight="1" x14ac:dyDescent="0.2">
      <c r="B29" t="s">
        <v>276</v>
      </c>
      <c r="E29" s="6">
        <f>+E20/E15*100</f>
        <v>98.443939393939388</v>
      </c>
      <c r="F29" s="6">
        <f t="shared" ref="F29:N29" si="11">+F20/F15*100</f>
        <v>96.001377410468322</v>
      </c>
      <c r="G29" s="6">
        <f t="shared" si="11"/>
        <v>109.76308539944904</v>
      </c>
      <c r="H29" s="6">
        <f t="shared" si="11"/>
        <v>107.85537190082644</v>
      </c>
      <c r="I29" s="6">
        <f t="shared" si="11"/>
        <v>97.867731958762889</v>
      </c>
      <c r="J29" s="6">
        <f t="shared" si="11"/>
        <v>105.78849502487562</v>
      </c>
      <c r="K29" s="6">
        <f t="shared" si="11"/>
        <v>103.63214987714989</v>
      </c>
      <c r="L29" s="6">
        <f t="shared" si="11"/>
        <v>99.387135922330089</v>
      </c>
      <c r="M29" s="6">
        <f t="shared" si="11"/>
        <v>98.703305954825467</v>
      </c>
      <c r="N29" s="6">
        <f t="shared" si="11"/>
        <v>117.16739446870452</v>
      </c>
      <c r="O29" s="6">
        <f>AVERAGE(E29:N29)</f>
        <v>103.46099873113317</v>
      </c>
    </row>
    <row r="30" spans="2:15" ht="12" customHeight="1" x14ac:dyDescent="0.2">
      <c r="B30" t="s">
        <v>277</v>
      </c>
      <c r="E30" s="6">
        <f>+E25/E20*100</f>
        <v>-1.5806565804257151</v>
      </c>
      <c r="F30" s="6">
        <f t="shared" ref="F30:N30" si="12">+F25/F20*100</f>
        <v>-4.1651721020990857</v>
      </c>
      <c r="G30" s="6">
        <f t="shared" si="12"/>
        <v>8.8946892882240736</v>
      </c>
      <c r="H30" s="6">
        <f t="shared" si="12"/>
        <v>7.2832458526493244</v>
      </c>
      <c r="I30" s="6">
        <f t="shared" si="12"/>
        <v>-2.1787242828264946</v>
      </c>
      <c r="J30" s="6">
        <f t="shared" si="12"/>
        <v>5.4717623343771775</v>
      </c>
      <c r="K30" s="6">
        <f t="shared" si="12"/>
        <v>3.5048485257283537</v>
      </c>
      <c r="L30" s="6">
        <f t="shared" si="12"/>
        <v>-0.61664326271445147</v>
      </c>
      <c r="M30" s="6">
        <f t="shared" si="12"/>
        <v>-1.3137290920812772</v>
      </c>
      <c r="N30" s="6">
        <f t="shared" si="12"/>
        <v>14.652023753323229</v>
      </c>
      <c r="O30" s="16">
        <f>AVERAGE(E30:N30)</f>
        <v>2.9951644434155136</v>
      </c>
    </row>
    <row r="31" spans="2:15" ht="12" customHeight="1" x14ac:dyDescent="0.2">
      <c r="E31" s="22"/>
      <c r="F31" s="22"/>
      <c r="G31" s="22"/>
      <c r="H31" s="22"/>
      <c r="I31" s="22"/>
      <c r="J31" s="22"/>
      <c r="K31" s="22"/>
      <c r="L31" s="22"/>
      <c r="M31" s="22"/>
      <c r="N31" s="22"/>
      <c r="O31" s="22"/>
    </row>
    <row r="32" spans="2:15" ht="12" customHeight="1" x14ac:dyDescent="0.2">
      <c r="E32" s="22"/>
      <c r="F32" s="22"/>
      <c r="G32" s="22"/>
      <c r="H32" s="22"/>
      <c r="I32" s="22"/>
      <c r="J32" s="22"/>
      <c r="K32" s="22"/>
      <c r="L32" s="22"/>
      <c r="M32" s="22"/>
      <c r="N32" s="22"/>
      <c r="O32" s="22"/>
    </row>
    <row r="33" spans="5:15" ht="12" customHeight="1" x14ac:dyDescent="0.2">
      <c r="E33" s="22"/>
      <c r="F33" s="22"/>
      <c r="G33" s="22"/>
      <c r="H33" s="22"/>
      <c r="I33" s="22"/>
      <c r="J33" s="22"/>
      <c r="K33" s="22"/>
      <c r="L33" s="22"/>
      <c r="M33" s="22"/>
      <c r="N33" s="22"/>
      <c r="O33" s="22"/>
    </row>
    <row r="34" spans="5:15" ht="12" customHeight="1" x14ac:dyDescent="0.2">
      <c r="E34" s="22"/>
      <c r="F34" s="22"/>
      <c r="G34" s="22"/>
      <c r="H34" s="22"/>
      <c r="I34" s="22"/>
      <c r="J34" s="22"/>
      <c r="K34" s="22"/>
      <c r="L34" s="22"/>
      <c r="M34" s="22"/>
      <c r="N34" s="22"/>
      <c r="O34" s="22"/>
    </row>
  </sheetData>
  <mergeCells count="3">
    <mergeCell ref="D1:M1"/>
    <mergeCell ref="D2:M2"/>
    <mergeCell ref="D3:M3"/>
  </mergeCells>
  <phoneticPr fontId="0" type="noConversion"/>
  <printOptions horizontalCentered="1"/>
  <pageMargins left="0.78740157480314965" right="0.78740157480314965" top="0.78740157480314965" bottom="0.78740157480314965" header="0.43307086614173229" footer="0.43307086614173229"/>
  <pageSetup paperSize="9" orientation="landscape" horizontalDpi="0" r:id="rId1"/>
  <headerFooter alignWithMargins="0">
    <oddFooter>&amp;L&amp;8BOKU / HVLFÖ&amp;C&amp;8DVR-Nr: 0890723&amp;R&amp;8&amp;D</oddFooter>
  </headerFooter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300-000000000000}">
  <dimension ref="A1:O40"/>
  <sheetViews>
    <sheetView workbookViewId="0">
      <selection activeCell="D2" sqref="D2:M2"/>
    </sheetView>
  </sheetViews>
  <sheetFormatPr baseColWidth="10" defaultRowHeight="12.75" x14ac:dyDescent="0.2"/>
  <cols>
    <col min="1" max="1" width="0.85546875" customWidth="1"/>
    <col min="2" max="2" width="10.28515625" customWidth="1"/>
    <col min="3" max="3" width="8.7109375" customWidth="1"/>
    <col min="4" max="4" width="9.7109375" customWidth="1"/>
    <col min="5" max="14" width="8.7109375" customWidth="1"/>
    <col min="15" max="15" width="10.7109375" customWidth="1"/>
  </cols>
  <sheetData>
    <row r="1" spans="1:15" ht="15.75" customHeight="1" x14ac:dyDescent="0.25">
      <c r="A1" t="s">
        <v>48</v>
      </c>
      <c r="C1" s="12">
        <f>Input!A3</f>
        <v>2024</v>
      </c>
      <c r="D1" s="36" t="s">
        <v>14</v>
      </c>
      <c r="E1" s="36"/>
      <c r="F1" s="36"/>
      <c r="G1" s="36"/>
      <c r="H1" s="36"/>
      <c r="I1" s="36"/>
      <c r="J1" s="36"/>
      <c r="K1" s="36"/>
      <c r="L1" s="36"/>
      <c r="M1" s="36"/>
      <c r="O1" s="3" t="s">
        <v>248</v>
      </c>
    </row>
    <row r="2" spans="1:15" ht="15.75" customHeight="1" x14ac:dyDescent="0.2">
      <c r="D2" s="37" t="str">
        <f>Kenndat!D2</f>
        <v>Produktionsgebiet 1: Alpenvorland</v>
      </c>
      <c r="E2" s="37"/>
      <c r="F2" s="37"/>
      <c r="G2" s="37"/>
      <c r="H2" s="37"/>
      <c r="I2" s="37"/>
      <c r="J2" s="37"/>
      <c r="K2" s="37"/>
      <c r="L2" s="37"/>
      <c r="M2" s="37"/>
    </row>
    <row r="3" spans="1:15" ht="15.75" customHeight="1" x14ac:dyDescent="0.2">
      <c r="D3" s="38" t="s">
        <v>172</v>
      </c>
      <c r="E3" s="38"/>
      <c r="F3" s="38"/>
      <c r="G3" s="38"/>
      <c r="H3" s="38"/>
      <c r="I3" s="38"/>
      <c r="J3" s="38"/>
      <c r="K3" s="38"/>
      <c r="L3" s="38"/>
      <c r="M3" s="38"/>
    </row>
    <row r="4" spans="1:15" ht="3.75" customHeight="1" x14ac:dyDescent="0.2"/>
    <row r="5" spans="1:15" x14ac:dyDescent="0.2">
      <c r="B5" t="s">
        <v>119</v>
      </c>
      <c r="E5" s="3">
        <f>Input!A3</f>
        <v>2024</v>
      </c>
      <c r="F5" s="3">
        <f>+E5-1</f>
        <v>2023</v>
      </c>
      <c r="G5" s="3">
        <f t="shared" ref="G5:N5" si="0">+F5-1</f>
        <v>2022</v>
      </c>
      <c r="H5" s="3">
        <f t="shared" si="0"/>
        <v>2021</v>
      </c>
      <c r="I5" s="3">
        <f t="shared" si="0"/>
        <v>2020</v>
      </c>
      <c r="J5" s="3">
        <f t="shared" si="0"/>
        <v>2019</v>
      </c>
      <c r="K5" s="3">
        <f t="shared" si="0"/>
        <v>2018</v>
      </c>
      <c r="L5" s="3">
        <f t="shared" si="0"/>
        <v>2017</v>
      </c>
      <c r="M5" s="3">
        <f t="shared" si="0"/>
        <v>2016</v>
      </c>
      <c r="N5" s="3">
        <f t="shared" si="0"/>
        <v>2015</v>
      </c>
      <c r="O5" s="3" t="s">
        <v>16</v>
      </c>
    </row>
    <row r="6" spans="1:15" ht="7.5" customHeight="1" x14ac:dyDescent="0.2"/>
    <row r="7" spans="1:15" ht="12" customHeight="1" x14ac:dyDescent="0.2">
      <c r="B7" t="s">
        <v>120</v>
      </c>
      <c r="E7" s="6">
        <f>(Input!A37-Input!A57+Input!A77)/Input!A$7</f>
        <v>39.556615718370971</v>
      </c>
      <c r="F7" s="6">
        <f>(Input!B37-Input!B57+Input!B77)/Input!B$7</f>
        <v>40.266644017996512</v>
      </c>
      <c r="G7" s="6">
        <f>(Input!C37-Input!C57+Input!C77)/Input!C$7</f>
        <v>33.981285465062889</v>
      </c>
      <c r="H7" s="6">
        <f>(Input!D37-Input!D57+Input!D77)/Input!D$7</f>
        <v>36.82717906336088</v>
      </c>
      <c r="I7" s="6">
        <f>(Input!E37-Input!E57+Input!E77)/Input!E$7</f>
        <v>43.800294765840228</v>
      </c>
      <c r="J7" s="6">
        <f>(Input!F37-Input!F57+Input!F77)/Input!F$7</f>
        <v>44.28254618026547</v>
      </c>
      <c r="K7" s="6">
        <f>(Input!G37-Input!G57+Input!G77)/Input!G$7</f>
        <v>40.743337046319503</v>
      </c>
      <c r="L7" s="6">
        <f>(Input!H37-Input!H57+Input!H77)/Input!H$7</f>
        <v>40.959125857693394</v>
      </c>
      <c r="M7" s="6">
        <f>(Input!I37-Input!I57+Input!I77)/Input!I$7</f>
        <v>51.579221235973876</v>
      </c>
      <c r="N7" s="6">
        <f>(Input!J37-Input!J57+Input!J77)/Input!J$7</f>
        <v>52.893217422264421</v>
      </c>
      <c r="O7" s="6">
        <f>AVERAGE(E7:N7)</f>
        <v>42.488946677314807</v>
      </c>
    </row>
    <row r="8" spans="1:15" ht="12" customHeight="1" x14ac:dyDescent="0.2">
      <c r="B8" t="s">
        <v>121</v>
      </c>
      <c r="E8" s="6">
        <f>(Input!A38-Input!A58+Input!A78)/Input!A$7</f>
        <v>36.145283502613154</v>
      </c>
      <c r="F8" s="6">
        <f>(Input!B38-Input!B58+Input!B78)/Input!B$7</f>
        <v>34.112054907721976</v>
      </c>
      <c r="G8" s="6">
        <f>(Input!C38-Input!C58+Input!C78)/Input!C$7</f>
        <v>28.258130566522816</v>
      </c>
      <c r="H8" s="6">
        <f>(Input!D38-Input!D58+Input!D78)/Input!D$7</f>
        <v>29.01493939393939</v>
      </c>
      <c r="I8" s="6">
        <f>(Input!E38-Input!E58+Input!E78)/Input!E$7</f>
        <v>36.845105601469236</v>
      </c>
      <c r="J8" s="6">
        <f>(Input!F38-Input!F58+Input!F78)/Input!F$7</f>
        <v>37.647886382623227</v>
      </c>
      <c r="K8" s="6">
        <f>(Input!G38-Input!G58+Input!G78)/Input!G$7</f>
        <v>33.695391255917571</v>
      </c>
      <c r="L8" s="6">
        <f>(Input!H38-Input!H58+Input!H78)/Input!H$7</f>
        <v>37.85494689350503</v>
      </c>
      <c r="M8" s="6">
        <f>(Input!I38-Input!I58+Input!I78)/Input!I$7</f>
        <v>39.472071679785635</v>
      </c>
      <c r="N8" s="6">
        <f>(Input!J38-Input!J58+Input!J78)/Input!J$7</f>
        <v>45.916760028483267</v>
      </c>
      <c r="O8" s="6">
        <f t="shared" ref="O8:O40" si="1">AVERAGE(E8:N8)</f>
        <v>35.896257021258137</v>
      </c>
    </row>
    <row r="9" spans="1:15" ht="12" customHeight="1" x14ac:dyDescent="0.2">
      <c r="B9" t="s">
        <v>122</v>
      </c>
      <c r="E9" s="6">
        <f>(Input!A39-Input!A59+Input!A79)/Input!A$7</f>
        <v>0.1692554974854551</v>
      </c>
      <c r="F9" s="6">
        <f>(Input!B39-Input!B59+Input!B79)/Input!B$7</f>
        <v>0.71073546965384249</v>
      </c>
      <c r="G9" s="6">
        <f>(Input!C39-Input!C59+Input!C79)/Input!C$7</f>
        <v>0.7338361950234138</v>
      </c>
      <c r="H9" s="6">
        <f>(Input!D39-Input!D59+Input!D79)/Input!D$7</f>
        <v>0.71231037649219464</v>
      </c>
      <c r="I9" s="6">
        <f>(Input!E39-Input!E59+Input!E79)/Input!E$7</f>
        <v>0.72722130394857676</v>
      </c>
      <c r="J9" s="6">
        <f>(Input!F39-Input!F59+Input!F79)/Input!F$7</f>
        <v>0.45369999071753464</v>
      </c>
      <c r="K9" s="6">
        <f>(Input!G39-Input!G59+Input!G79)/Input!G$7</f>
        <v>0.42104799034623597</v>
      </c>
      <c r="L9" s="6">
        <f>(Input!H39-Input!H59+Input!H79)/Input!H$7</f>
        <v>0.43153679857129429</v>
      </c>
      <c r="M9" s="6">
        <f>(Input!I39-Input!I59+Input!I79)/Input!I$7</f>
        <v>0.61663707921621158</v>
      </c>
      <c r="N9" s="6">
        <f>(Input!J39-Input!J59+Input!J79)/Input!J$7</f>
        <v>2.7845134108711131</v>
      </c>
      <c r="O9" s="6">
        <f t="shared" si="1"/>
        <v>0.77607941123258717</v>
      </c>
    </row>
    <row r="10" spans="1:15" ht="13.5" customHeight="1" x14ac:dyDescent="0.2">
      <c r="B10" s="4" t="s">
        <v>123</v>
      </c>
      <c r="E10" s="8">
        <f>SUM(E7:E9)</f>
        <v>75.871154718469583</v>
      </c>
      <c r="F10" s="8">
        <f t="shared" ref="F10:N10" si="2">SUM(F7:F9)</f>
        <v>75.089434395372322</v>
      </c>
      <c r="G10" s="8">
        <f t="shared" si="2"/>
        <v>62.973252226609119</v>
      </c>
      <c r="H10" s="8">
        <f t="shared" si="2"/>
        <v>66.554428833792471</v>
      </c>
      <c r="I10" s="8">
        <f t="shared" si="2"/>
        <v>81.372621671258045</v>
      </c>
      <c r="J10" s="8">
        <f t="shared" si="2"/>
        <v>82.384132553606236</v>
      </c>
      <c r="K10" s="8">
        <f t="shared" si="2"/>
        <v>74.859776292583319</v>
      </c>
      <c r="L10" s="8">
        <f t="shared" si="2"/>
        <v>79.245609549769725</v>
      </c>
      <c r="M10" s="8">
        <f t="shared" si="2"/>
        <v>91.667929994975736</v>
      </c>
      <c r="N10" s="8">
        <f t="shared" si="2"/>
        <v>101.59449086161879</v>
      </c>
      <c r="O10" s="8">
        <f t="shared" si="1"/>
        <v>79.161283109805552</v>
      </c>
    </row>
    <row r="11" spans="1:15" ht="3" customHeight="1" x14ac:dyDescent="0.2">
      <c r="E11" s="17"/>
      <c r="F11" s="17"/>
      <c r="G11" s="17"/>
      <c r="H11" s="17"/>
      <c r="I11" s="17"/>
      <c r="J11" s="17"/>
      <c r="K11" s="17"/>
      <c r="L11" s="17"/>
      <c r="M11" s="17"/>
      <c r="N11" s="17"/>
      <c r="O11" s="6"/>
    </row>
    <row r="12" spans="1:15" ht="12" customHeight="1" x14ac:dyDescent="0.2">
      <c r="B12" t="s">
        <v>124</v>
      </c>
      <c r="E12" s="6">
        <f>(Input!A40-Input!A60+Input!A80)/Input!A$7</f>
        <v>45.109671630016763</v>
      </c>
      <c r="F12" s="6">
        <f>(Input!B40-Input!B60+Input!B80)/Input!B$7</f>
        <v>47.479101092645301</v>
      </c>
      <c r="G12" s="6">
        <f>(Input!C40-Input!C60+Input!C80)/Input!C$7</f>
        <v>43.573226517307873</v>
      </c>
      <c r="H12" s="6">
        <f>(Input!D40-Input!D60+Input!D80)/Input!D$7</f>
        <v>49.321617079889812</v>
      </c>
      <c r="I12" s="6">
        <f>(Input!E40-Input!E60+Input!E80)/Input!E$7</f>
        <v>47.337777777777774</v>
      </c>
      <c r="J12" s="6">
        <f>(Input!F40-Input!F60+Input!F80)/Input!F$7</f>
        <v>48.483596027104802</v>
      </c>
      <c r="K12" s="6">
        <f>(Input!G40-Input!G60+Input!G80)/Input!G$7</f>
        <v>46.771051703332404</v>
      </c>
      <c r="L12" s="6">
        <f>(Input!H40-Input!H60+Input!H80)/Input!H$7</f>
        <v>48.309354262618662</v>
      </c>
      <c r="M12" s="6">
        <f>(Input!I40-Input!I60+Input!I80)/Input!I$7</f>
        <v>43.028444146709091</v>
      </c>
      <c r="N12" s="6">
        <f>(Input!J40-Input!J60+Input!J80)/Input!J$7</f>
        <v>53.409004272489916</v>
      </c>
      <c r="O12" s="6">
        <f t="shared" si="1"/>
        <v>47.282284450989245</v>
      </c>
    </row>
    <row r="13" spans="1:15" ht="12" customHeight="1" x14ac:dyDescent="0.2">
      <c r="B13" t="s">
        <v>125</v>
      </c>
      <c r="E13" s="6">
        <f>(Input!A41-Input!A61+Input!A81)/Input!A$7</f>
        <v>11.718712158564244</v>
      </c>
      <c r="F13" s="6">
        <f>(Input!B41-Input!B61+Input!B81)/Input!B$7</f>
        <v>12.42852171517767</v>
      </c>
      <c r="G13" s="6">
        <f>(Input!C41-Input!C61+Input!C81)/Input!C$7</f>
        <v>11.85388853181526</v>
      </c>
      <c r="H13" s="6">
        <f>(Input!D41-Input!D61+Input!D81)/Input!D$7</f>
        <v>13.641573002754821</v>
      </c>
      <c r="I13" s="6">
        <f>(Input!E41-Input!E61+Input!E81)/Input!E$7</f>
        <v>13.236138659320476</v>
      </c>
      <c r="J13" s="6">
        <f>(Input!F41-Input!F61+Input!F81)/Input!F$7</f>
        <v>13.529773507843684</v>
      </c>
      <c r="K13" s="6">
        <f>(Input!G41-Input!G61+Input!G81)/Input!G$7</f>
        <v>13.448007054673722</v>
      </c>
      <c r="L13" s="6">
        <f>(Input!H41-Input!H61+Input!H81)/Input!H$7</f>
        <v>13.880513206128393</v>
      </c>
      <c r="M13" s="6">
        <f>(Input!I41-Input!I61+Input!I81)/Input!I$7</f>
        <v>12.498847764193602</v>
      </c>
      <c r="N13" s="6">
        <f>(Input!J41-Input!J61+Input!J81)/Input!J$7</f>
        <v>14.322151673391884</v>
      </c>
      <c r="O13" s="6">
        <f t="shared" si="1"/>
        <v>13.055812727386376</v>
      </c>
    </row>
    <row r="14" spans="1:15" ht="12" customHeight="1" x14ac:dyDescent="0.2">
      <c r="B14" t="s">
        <v>126</v>
      </c>
      <c r="E14" s="6">
        <f>(Input!A42-Input!A62+Input!A82)/Input!A$7</f>
        <v>0</v>
      </c>
      <c r="F14" s="6">
        <f>(Input!B42-Input!B62+Input!B82)/Input!B$7</f>
        <v>0</v>
      </c>
      <c r="G14" s="6">
        <f>(Input!C42-Input!C62+Input!C82)/Input!C$7</f>
        <v>0</v>
      </c>
      <c r="H14" s="6">
        <f>(Input!D42-Input!D62+Input!D82)/Input!D$7</f>
        <v>0</v>
      </c>
      <c r="I14" s="6">
        <f>(Input!E42-Input!E62+Input!E82)/Input!E$7</f>
        <v>0.39067033976124882</v>
      </c>
      <c r="J14" s="6">
        <f>(Input!F42-Input!F62+Input!F82)/Input!F$7</f>
        <v>0.38793093845725429</v>
      </c>
      <c r="K14" s="6">
        <f>(Input!G42-Input!G62+Input!G82)/Input!G$7</f>
        <v>1.460415854450942</v>
      </c>
      <c r="L14" s="6">
        <f>(Input!H42-Input!H62+Input!H82)/Input!H$7</f>
        <v>1.4430284801203119</v>
      </c>
      <c r="M14" s="6">
        <f>(Input!I42-Input!I62+Input!I82)/Input!I$7</f>
        <v>0</v>
      </c>
      <c r="N14" s="6">
        <f>(Input!J42-Input!J62+Input!J82)/Input!J$7</f>
        <v>0</v>
      </c>
      <c r="O14" s="6">
        <f t="shared" si="1"/>
        <v>0.36820456127897572</v>
      </c>
    </row>
    <row r="15" spans="1:15" ht="13.5" customHeight="1" x14ac:dyDescent="0.2">
      <c r="B15" s="4" t="s">
        <v>130</v>
      </c>
      <c r="E15" s="8">
        <f>SUM(E12:E14)</f>
        <v>56.828383788581007</v>
      </c>
      <c r="F15" s="8">
        <f t="shared" ref="F15:N15" si="3">SUM(F12:F14)</f>
        <v>59.907622807822975</v>
      </c>
      <c r="G15" s="8">
        <f t="shared" si="3"/>
        <v>55.427115049123131</v>
      </c>
      <c r="H15" s="8">
        <f t="shared" si="3"/>
        <v>62.96319008264463</v>
      </c>
      <c r="I15" s="8">
        <f t="shared" si="3"/>
        <v>60.964586776859498</v>
      </c>
      <c r="J15" s="8">
        <f t="shared" si="3"/>
        <v>62.40130047340574</v>
      </c>
      <c r="K15" s="8">
        <f t="shared" si="3"/>
        <v>61.679474612457071</v>
      </c>
      <c r="L15" s="8">
        <f t="shared" si="3"/>
        <v>63.632895948867365</v>
      </c>
      <c r="M15" s="8">
        <f t="shared" si="3"/>
        <v>55.52729191090269</v>
      </c>
      <c r="N15" s="8">
        <f t="shared" si="3"/>
        <v>67.731155945881795</v>
      </c>
      <c r="O15" s="8">
        <f t="shared" si="1"/>
        <v>60.706301739654592</v>
      </c>
    </row>
    <row r="16" spans="1:15" ht="3" customHeight="1" x14ac:dyDescent="0.2">
      <c r="E16" s="17"/>
      <c r="F16" s="17"/>
      <c r="G16" s="17"/>
      <c r="H16" s="17"/>
      <c r="I16" s="17"/>
      <c r="J16" s="17"/>
      <c r="K16" s="17"/>
      <c r="L16" s="17"/>
      <c r="M16" s="17"/>
      <c r="N16" s="17"/>
      <c r="O16" s="6"/>
    </row>
    <row r="17" spans="2:15" ht="12" customHeight="1" x14ac:dyDescent="0.2">
      <c r="B17" t="s">
        <v>127</v>
      </c>
      <c r="E17" s="6">
        <f>(Input!A43-Input!A63+Input!A83)/Input!A$7</f>
        <v>14.263395128685536</v>
      </c>
      <c r="F17" s="6">
        <f>(Input!B43-Input!B63+Input!B83)/Input!B$7</f>
        <v>12.142899641906162</v>
      </c>
      <c r="G17" s="6">
        <f>(Input!C43-Input!C63+Input!C83)/Input!C$7</f>
        <v>11.018939491323113</v>
      </c>
      <c r="H17" s="6">
        <f>(Input!D43-Input!D63+Input!D83)/Input!D$7</f>
        <v>8.3630697887970609</v>
      </c>
      <c r="I17" s="6">
        <f>(Input!E43-Input!E63+Input!E83)/Input!E$7</f>
        <v>9.0778034894398534</v>
      </c>
      <c r="J17" s="6">
        <f>(Input!F43-Input!F63+Input!F83)/Input!F$7</f>
        <v>11.318265107212476</v>
      </c>
      <c r="K17" s="6">
        <f>(Input!G43-Input!G63+Input!G83)/Input!G$7</f>
        <v>11.183764967975494</v>
      </c>
      <c r="L17" s="6">
        <f>(Input!H43-Input!H63+Input!H83)/Input!H$7</f>
        <v>11.579457655794718</v>
      </c>
      <c r="M17" s="6">
        <f>(Input!I43-Input!I63+Input!I83)/Input!I$7</f>
        <v>6.279105677440965</v>
      </c>
      <c r="N17" s="6">
        <f>(Input!J43-Input!J63+Input!J83)/Input!J$7</f>
        <v>8.767982435319249</v>
      </c>
      <c r="O17" s="6">
        <f t="shared" si="1"/>
        <v>10.399468338389463</v>
      </c>
    </row>
    <row r="18" spans="2:15" ht="12" customHeight="1" x14ac:dyDescent="0.2">
      <c r="B18" t="s">
        <v>128</v>
      </c>
      <c r="E18" s="6">
        <f>(Input!A44-Input!A64+Input!A84)/Input!A$7</f>
        <v>24.487536732077704</v>
      </c>
      <c r="F18" s="6">
        <f>(Input!B44-Input!B64+Input!B84)/Input!B$7</f>
        <v>24.830112019098337</v>
      </c>
      <c r="G18" s="6">
        <f>(Input!C44-Input!C64+Input!C84)/Input!C$7</f>
        <v>22.40491690386558</v>
      </c>
      <c r="H18" s="6">
        <f>(Input!D44-Input!D64+Input!D84)/Input!D$7</f>
        <v>21.372282828282827</v>
      </c>
      <c r="I18" s="6">
        <f>(Input!E44-Input!E64+Input!E84)/Input!E$7</f>
        <v>26.989912764003677</v>
      </c>
      <c r="J18" s="6">
        <f>(Input!F44-Input!F64+Input!F84)/Input!F$7</f>
        <v>19.943626659240696</v>
      </c>
      <c r="K18" s="6">
        <f>(Input!G44-Input!G64+Input!G84)/Input!G$7</f>
        <v>17.892602803304555</v>
      </c>
      <c r="L18" s="6">
        <f>(Input!H44-Input!H64+Input!H84)/Input!H$7</f>
        <v>17.643699595826675</v>
      </c>
      <c r="M18" s="6">
        <f>(Input!I44-Input!I64+Input!I84)/Input!I$7</f>
        <v>22.143773237313685</v>
      </c>
      <c r="N18" s="6">
        <f>(Input!J44-Input!J64+Input!J84)/Input!J$7</f>
        <v>41.800720389271305</v>
      </c>
      <c r="O18" s="6">
        <f t="shared" si="1"/>
        <v>23.950918393228509</v>
      </c>
    </row>
    <row r="19" spans="2:15" ht="13.5" customHeight="1" x14ac:dyDescent="0.2">
      <c r="B19" s="4" t="s">
        <v>129</v>
      </c>
      <c r="E19" s="8">
        <f>SUM(E17:E18)</f>
        <v>38.750931860763238</v>
      </c>
      <c r="F19" s="8">
        <f t="shared" ref="F19:N19" si="4">SUM(F17:F18)</f>
        <v>36.973011661004499</v>
      </c>
      <c r="G19" s="8">
        <f t="shared" si="4"/>
        <v>33.423856395188693</v>
      </c>
      <c r="H19" s="8">
        <f t="shared" si="4"/>
        <v>29.73535261707989</v>
      </c>
      <c r="I19" s="8">
        <f t="shared" si="4"/>
        <v>36.067716253443528</v>
      </c>
      <c r="J19" s="8">
        <f t="shared" si="4"/>
        <v>31.261891766453171</v>
      </c>
      <c r="K19" s="8">
        <f t="shared" si="4"/>
        <v>29.076367771280047</v>
      </c>
      <c r="L19" s="8">
        <f t="shared" si="4"/>
        <v>29.223157251621394</v>
      </c>
      <c r="M19" s="8">
        <f t="shared" si="4"/>
        <v>28.422878914754648</v>
      </c>
      <c r="N19" s="8">
        <f t="shared" si="4"/>
        <v>50.568702824590552</v>
      </c>
      <c r="O19" s="8">
        <f t="shared" si="1"/>
        <v>34.350386731617974</v>
      </c>
    </row>
    <row r="20" spans="2:15" ht="3" customHeight="1" x14ac:dyDescent="0.2">
      <c r="E20" s="17"/>
      <c r="F20" s="17"/>
      <c r="G20" s="17"/>
      <c r="H20" s="17"/>
      <c r="I20" s="17"/>
      <c r="J20" s="17"/>
      <c r="K20" s="17"/>
      <c r="L20" s="17"/>
      <c r="M20" s="17"/>
      <c r="N20" s="17"/>
      <c r="O20" s="6"/>
    </row>
    <row r="21" spans="2:15" ht="12" customHeight="1" x14ac:dyDescent="0.2">
      <c r="B21" t="s">
        <v>131</v>
      </c>
      <c r="E21" s="6">
        <f>(Input!A45-Input!A65+Input!A85)/Input!A$7</f>
        <v>244.67590277092989</v>
      </c>
      <c r="F21" s="6">
        <f>(Input!B45-Input!B65+Input!B85)/Input!B$7</f>
        <v>222.82854926085759</v>
      </c>
      <c r="G21" s="6">
        <f>(Input!C45-Input!C65+Input!C85)/Input!C$7</f>
        <v>179.34040033054819</v>
      </c>
      <c r="H21" s="6">
        <f>(Input!D45-Input!D65+Input!D85)/Input!D$7</f>
        <v>192.24916988062444</v>
      </c>
      <c r="I21" s="6">
        <f>(Input!E45-Input!E65+Input!E85)/Input!E$7</f>
        <v>185.69519467401284</v>
      </c>
      <c r="J21" s="6">
        <f>(Input!F45-Input!F65+Input!F85)/Input!F$7</f>
        <v>180.84915529564651</v>
      </c>
      <c r="K21" s="6">
        <f>(Input!G45-Input!G65+Input!G85)/Input!G$7</f>
        <v>182.85378167641326</v>
      </c>
      <c r="L21" s="6">
        <f>(Input!H45-Input!H65+Input!H85)/Input!H$7</f>
        <v>179.8109765955447</v>
      </c>
      <c r="M21" s="6">
        <f>(Input!I45-Input!I65+Input!I85)/Input!I$7</f>
        <v>195.4079450678278</v>
      </c>
      <c r="N21" s="6">
        <f>(Input!J45-Input!J65+Input!J85)/Input!J$7</f>
        <v>189.04471872774747</v>
      </c>
      <c r="O21" s="6">
        <f t="shared" si="1"/>
        <v>195.27557942801528</v>
      </c>
    </row>
    <row r="22" spans="2:15" ht="12" customHeight="1" x14ac:dyDescent="0.2">
      <c r="B22" t="s">
        <v>132</v>
      </c>
      <c r="E22" s="6">
        <f>(Input!A46-Input!A66+Input!A86)/Input!A$7</f>
        <v>27.998748644117931</v>
      </c>
      <c r="F22" s="6">
        <f>(Input!B46-Input!B66+Input!B86)/Input!B$7</f>
        <v>33.769013864658895</v>
      </c>
      <c r="G22" s="6">
        <f>(Input!C46-Input!C66+Input!C86)/Input!C$7</f>
        <v>21.282491047654023</v>
      </c>
      <c r="H22" s="6">
        <f>(Input!D46-Input!D66+Input!D86)/Input!D$7</f>
        <v>19.480177226813591</v>
      </c>
      <c r="I22" s="6">
        <f>(Input!E46-Input!E66+Input!E86)/Input!E$7</f>
        <v>20.434673094582184</v>
      </c>
      <c r="J22" s="6">
        <f>(Input!F46-Input!F66+Input!F86)/Input!F$7</f>
        <v>21.001274482502552</v>
      </c>
      <c r="K22" s="6">
        <f>(Input!G46-Input!G66+Input!G86)/Input!G$7</f>
        <v>24.811722825582475</v>
      </c>
      <c r="L22" s="6">
        <f>(Input!H46-Input!H66+Input!H86)/Input!H$7</f>
        <v>26.823971237898299</v>
      </c>
      <c r="M22" s="6">
        <f>(Input!I46-Input!I66+Input!I86)/Input!I$7</f>
        <v>22.793336124602245</v>
      </c>
      <c r="N22" s="6">
        <f>(Input!J46-Input!J66+Input!J86)/Input!J$7</f>
        <v>49.80799905055779</v>
      </c>
      <c r="O22" s="6">
        <f t="shared" si="1"/>
        <v>26.820340759897</v>
      </c>
    </row>
    <row r="23" spans="2:15" ht="12" customHeight="1" x14ac:dyDescent="0.2">
      <c r="B23" t="s">
        <v>133</v>
      </c>
      <c r="E23" s="6">
        <f>(Input!A47-Input!A67+Input!A87)/Input!A$7</f>
        <v>3.5157163987772408</v>
      </c>
      <c r="F23" s="6">
        <f>(Input!B47-Input!B67+Input!B87)/Input!B$7</f>
        <v>2.9053815076668807</v>
      </c>
      <c r="G23" s="6">
        <f>(Input!C47-Input!C67+Input!C87)/Input!C$7</f>
        <v>4.0227710953998717</v>
      </c>
      <c r="H23" s="6">
        <f>(Input!D47-Input!D67+Input!D87)/Input!D$7</f>
        <v>2.3431873278236917</v>
      </c>
      <c r="I23" s="6">
        <f>(Input!E47-Input!E67+Input!E87)/Input!E$7</f>
        <v>1.8896097337006426</v>
      </c>
      <c r="J23" s="6">
        <f>(Input!F47-Input!F67+Input!F87)/Input!F$7</f>
        <v>1.411334818527801</v>
      </c>
      <c r="K23" s="6">
        <f>(Input!G47-Input!G67+Input!G87)/Input!G$7</f>
        <v>1.4316606330641419</v>
      </c>
      <c r="L23" s="6">
        <f>(Input!H47-Input!H67+Input!H87)/Input!H$7</f>
        <v>0.77396559827051403</v>
      </c>
      <c r="M23" s="6">
        <f>(Input!I47-Input!I67+Input!I87)/Input!I$7</f>
        <v>1.6317451013230615</v>
      </c>
      <c r="N23" s="6">
        <f>(Input!J47-Input!J67+Input!J87)/Input!J$7</f>
        <v>1.3530928079753144</v>
      </c>
      <c r="O23" s="6">
        <f t="shared" si="1"/>
        <v>2.127846502252916</v>
      </c>
    </row>
    <row r="24" spans="2:15" ht="12" customHeight="1" x14ac:dyDescent="0.2">
      <c r="B24" t="s">
        <v>134</v>
      </c>
      <c r="E24" s="6">
        <f>(Input!A48-Input!A68+Input!A88)/Input!A$7</f>
        <v>2.5152420865792329</v>
      </c>
      <c r="F24" s="6">
        <f>(Input!B48-Input!B68+Input!B88)/Input!B$7</f>
        <v>3.5062253236617393</v>
      </c>
      <c r="G24" s="6">
        <f>(Input!C48-Input!C68+Input!C88)/Input!C$7</f>
        <v>4.7311045817647601</v>
      </c>
      <c r="H24" s="6">
        <f>(Input!D48-Input!D68+Input!D88)/Input!D$7</f>
        <v>5.4126317722681367</v>
      </c>
      <c r="I24" s="6">
        <f>(Input!E48-Input!E68+Input!E88)/Input!E$7</f>
        <v>5.5810082644628096</v>
      </c>
      <c r="J24" s="6">
        <f>(Input!F48-Input!F68+Input!F88)/Input!F$7</f>
        <v>2.7955499860763018</v>
      </c>
      <c r="K24" s="6">
        <f>(Input!G48-Input!G68+Input!G88)/Input!G$7</f>
        <v>7.7859482038429411</v>
      </c>
      <c r="L24" s="6">
        <f>(Input!H48-Input!H68+Input!H88)/Input!H$7</f>
        <v>8.3022943885703544</v>
      </c>
      <c r="M24" s="6">
        <f>(Input!I48-Input!I68+Input!I88)/Input!I$7</f>
        <v>0.34235303969184394</v>
      </c>
      <c r="N24" s="6">
        <f>(Input!J48-Input!J68+Input!J88)/Input!J$7</f>
        <v>1.2850261096605744</v>
      </c>
      <c r="O24" s="6">
        <f t="shared" si="1"/>
        <v>4.2257383756578699</v>
      </c>
    </row>
    <row r="25" spans="2:15" ht="12" customHeight="1" x14ac:dyDescent="0.2">
      <c r="B25" t="s">
        <v>135</v>
      </c>
      <c r="E25" s="6">
        <f>(Input!A49-Input!A69+Input!A89)/Input!A$7</f>
        <v>7.9745025145449162</v>
      </c>
      <c r="F25" s="6">
        <f>(Input!B49-Input!B69+Input!B89)/Input!B$7</f>
        <v>22.180432467174732</v>
      </c>
      <c r="G25" s="6">
        <f>(Input!C49-Input!C69+Input!C89)/Input!C$7</f>
        <v>25.071158754935265</v>
      </c>
      <c r="H25" s="6">
        <f>(Input!D49-Input!D69+Input!D89)/Input!D$7</f>
        <v>23.361473829201103</v>
      </c>
      <c r="I25" s="6">
        <f>(Input!E49-Input!E69+Input!E89)/Input!E$7</f>
        <v>21.353825528007345</v>
      </c>
      <c r="J25" s="6">
        <f>(Input!F49-Input!F69+Input!F89)/Input!F$7</f>
        <v>20.082050496611899</v>
      </c>
      <c r="K25" s="6">
        <f>(Input!G49-Input!G69+Input!G89)/Input!G$7</f>
        <v>19.481025712429222</v>
      </c>
      <c r="L25" s="6">
        <f>(Input!H49-Input!H69+Input!H89)/Input!H$7</f>
        <v>19.599984960992575</v>
      </c>
      <c r="M25" s="6">
        <f>(Input!I49-Input!I69+Input!I89)/Input!I$7</f>
        <v>26.248425724334282</v>
      </c>
      <c r="N25" s="6">
        <f>(Input!J49-Input!J69+Input!J89)/Input!J$7</f>
        <v>16.253784713980536</v>
      </c>
      <c r="O25" s="6">
        <f t="shared" si="1"/>
        <v>20.160666470221187</v>
      </c>
    </row>
    <row r="26" spans="2:15" ht="13.5" customHeight="1" x14ac:dyDescent="0.2">
      <c r="B26" s="4" t="s">
        <v>136</v>
      </c>
      <c r="E26" s="8">
        <f>SUM(E21:E25)</f>
        <v>286.68011241494918</v>
      </c>
      <c r="F26" s="8">
        <f t="shared" ref="F26:N26" si="5">SUM(F21:F25)</f>
        <v>285.18960242401988</v>
      </c>
      <c r="G26" s="8">
        <f t="shared" si="5"/>
        <v>234.44792581030208</v>
      </c>
      <c r="H26" s="8">
        <f t="shared" si="5"/>
        <v>242.84664003673095</v>
      </c>
      <c r="I26" s="8">
        <f t="shared" si="5"/>
        <v>234.95431129476583</v>
      </c>
      <c r="J26" s="8">
        <f t="shared" si="5"/>
        <v>226.13936507936506</v>
      </c>
      <c r="K26" s="8">
        <f t="shared" si="5"/>
        <v>236.36413905133205</v>
      </c>
      <c r="L26" s="8">
        <f t="shared" si="5"/>
        <v>235.31119278127642</v>
      </c>
      <c r="M26" s="8">
        <f t="shared" si="5"/>
        <v>246.42380505777922</v>
      </c>
      <c r="N26" s="8">
        <f t="shared" si="5"/>
        <v>257.74462140992171</v>
      </c>
      <c r="O26" s="8">
        <f t="shared" si="1"/>
        <v>248.61017153604425</v>
      </c>
    </row>
    <row r="27" spans="2:15" ht="3" customHeight="1" x14ac:dyDescent="0.2">
      <c r="B27" s="4"/>
      <c r="E27" s="8"/>
      <c r="F27" s="8"/>
      <c r="G27" s="8"/>
      <c r="H27" s="8"/>
      <c r="I27" s="8"/>
      <c r="J27" s="8"/>
      <c r="K27" s="8"/>
      <c r="L27" s="8"/>
      <c r="M27" s="8"/>
      <c r="N27" s="8"/>
      <c r="O27" s="6"/>
    </row>
    <row r="28" spans="2:15" ht="12" customHeight="1" x14ac:dyDescent="0.2">
      <c r="B28" t="s">
        <v>137</v>
      </c>
      <c r="E28" s="6">
        <f>(Input!A50-Input!A70+Input!A90)/Input!A$7</f>
        <v>15.092825165171087</v>
      </c>
      <c r="F28" s="6">
        <f>(Input!B50-Input!B70+Input!B90)/Input!B$7</f>
        <v>15.914967404278762</v>
      </c>
      <c r="G28" s="6">
        <f>(Input!C50-Input!C70+Input!C90)/Input!C$7</f>
        <v>15.904197961619685</v>
      </c>
      <c r="H28" s="6">
        <f>(Input!D50-Input!D70+Input!D90)/Input!D$7</f>
        <v>12.599162534435262</v>
      </c>
      <c r="I28" s="6">
        <f>(Input!E50-Input!E70+Input!E90)/Input!E$7</f>
        <v>12.77243709825528</v>
      </c>
      <c r="J28" s="6">
        <f>(Input!F50-Input!F70+Input!F90)/Input!F$7</f>
        <v>12.831713543117051</v>
      </c>
      <c r="K28" s="6">
        <f>(Input!G50-Input!G70+Input!G90)/Input!G$7</f>
        <v>13.20434883505059</v>
      </c>
      <c r="L28" s="6">
        <f>(Input!H50-Input!H70+Input!H90)/Input!H$7</f>
        <v>12.22197856941442</v>
      </c>
      <c r="M28" s="6">
        <f>(Input!I50-Input!I70+Input!I90)/Input!I$7</f>
        <v>13.963975883436609</v>
      </c>
      <c r="N28" s="6">
        <f>(Input!J50-Input!J70+Input!J90)/Input!J$7</f>
        <v>18.538560408260146</v>
      </c>
      <c r="O28" s="6">
        <f t="shared" si="1"/>
        <v>14.304416740303889</v>
      </c>
    </row>
    <row r="29" spans="2:15" ht="12" customHeight="1" x14ac:dyDescent="0.2">
      <c r="B29" t="s">
        <v>138</v>
      </c>
      <c r="E29" s="6">
        <f>(Input!A51-Input!A71+Input!A91)/Input!A$7</f>
        <v>1.2050537422344938</v>
      </c>
      <c r="F29" s="6">
        <f>(Input!B51-Input!B71+Input!B91)/Input!B$7</f>
        <v>1.3268230649159858</v>
      </c>
      <c r="G29" s="6">
        <f>(Input!C51-Input!C71+Input!C91)/Input!C$7</f>
        <v>0.96592323937195845</v>
      </c>
      <c r="H29" s="6">
        <f>(Input!D51-Input!D71+Input!D91)/Input!D$7</f>
        <v>0.90464554637281913</v>
      </c>
      <c r="I29" s="6">
        <f>(Input!E51-Input!E71+Input!E91)/Input!E$7</f>
        <v>1.24689898989899</v>
      </c>
      <c r="J29" s="6">
        <f>(Input!F51-Input!F71+Input!F91)/Input!F$7</f>
        <v>1.4408001485194466</v>
      </c>
      <c r="K29" s="6">
        <f>(Input!G51-Input!G71+Input!G91)/Input!G$7</f>
        <v>1.3813023298988212</v>
      </c>
      <c r="L29" s="6">
        <f>(Input!H51-Input!H71+Input!H91)/Input!H$7</f>
        <v>1.6918028010151334</v>
      </c>
      <c r="M29" s="6">
        <f>(Input!I51-Input!I71+Input!I91)/Input!I$7</f>
        <v>0.55867693853625855</v>
      </c>
      <c r="N29" s="6">
        <f>(Input!J51-Input!J71+Input!J91)/Input!J$7</f>
        <v>0.42644671255637318</v>
      </c>
      <c r="O29" s="6">
        <f t="shared" si="1"/>
        <v>1.114837351332028</v>
      </c>
    </row>
    <row r="30" spans="2:15" ht="14.25" customHeight="1" x14ac:dyDescent="0.2">
      <c r="B30" s="4" t="s">
        <v>139</v>
      </c>
      <c r="E30" s="8">
        <f>SUM(E28:E29)</f>
        <v>16.297878907405583</v>
      </c>
      <c r="F30" s="8">
        <f t="shared" ref="F30:N30" si="6">SUM(F28:F29)</f>
        <v>17.241790469194747</v>
      </c>
      <c r="G30" s="8">
        <f t="shared" si="6"/>
        <v>16.870121200991644</v>
      </c>
      <c r="H30" s="8">
        <f t="shared" si="6"/>
        <v>13.503808080808081</v>
      </c>
      <c r="I30" s="8">
        <f t="shared" si="6"/>
        <v>14.019336088154269</v>
      </c>
      <c r="J30" s="8">
        <f t="shared" si="6"/>
        <v>14.272513691636497</v>
      </c>
      <c r="K30" s="8">
        <f t="shared" si="6"/>
        <v>14.585651164949411</v>
      </c>
      <c r="L30" s="8">
        <f t="shared" si="6"/>
        <v>13.913781370429554</v>
      </c>
      <c r="M30" s="8">
        <f t="shared" si="6"/>
        <v>14.522652821972867</v>
      </c>
      <c r="N30" s="8">
        <f t="shared" si="6"/>
        <v>18.965007120816519</v>
      </c>
      <c r="O30" s="8">
        <f t="shared" si="1"/>
        <v>15.419254091635917</v>
      </c>
    </row>
    <row r="31" spans="2:15" ht="3" customHeight="1" x14ac:dyDescent="0.2">
      <c r="B31" s="4"/>
      <c r="E31" s="8"/>
      <c r="F31" s="8"/>
      <c r="G31" s="8"/>
      <c r="H31" s="8"/>
      <c r="I31" s="8"/>
      <c r="J31" s="8"/>
      <c r="K31" s="8"/>
      <c r="L31" s="8"/>
      <c r="M31" s="8"/>
      <c r="N31" s="8"/>
      <c r="O31" s="6"/>
    </row>
    <row r="32" spans="2:15" ht="12" customHeight="1" x14ac:dyDescent="0.2">
      <c r="B32" t="s">
        <v>140</v>
      </c>
      <c r="E32" s="6">
        <f>(Input!A52-Input!A72+Input!A92)/Input!A$7</f>
        <v>0.27991026525983631</v>
      </c>
      <c r="F32" s="6">
        <f>(Input!B52-Input!B72+Input!B92)/Input!B$7</f>
        <v>0.25305940684969241</v>
      </c>
      <c r="G32" s="6">
        <f>(Input!C52-Input!C72+Input!C92)/Input!C$7</f>
        <v>0.32682031034799375</v>
      </c>
      <c r="H32" s="6">
        <f>(Input!D52-Input!D72+Input!D92)/Input!D$7</f>
        <v>0.80126170798898066</v>
      </c>
      <c r="I32" s="6">
        <f>(Input!E52-Input!E72+Input!E92)/Input!E$7</f>
        <v>1.4859623507805326</v>
      </c>
      <c r="J32" s="6">
        <f>(Input!F52-Input!F72+Input!F92)/Input!F$7</f>
        <v>1.6882177666388194</v>
      </c>
      <c r="K32" s="6">
        <f>(Input!G52-Input!G72+Input!G92)/Input!G$7</f>
        <v>0.70848602988953868</v>
      </c>
      <c r="L32" s="6">
        <f>(Input!H52-Input!H72+Input!H92)/Input!H$7</f>
        <v>0.66488297772347016</v>
      </c>
      <c r="M32" s="6">
        <f>(Input!I52-Input!I72+Input!I92)/Input!I$7</f>
        <v>0.6354697705576956</v>
      </c>
      <c r="N32" s="6">
        <f>(Input!J52-Input!J72+Input!J92)/Input!J$7</f>
        <v>0.53358533111796813</v>
      </c>
      <c r="O32" s="6">
        <f t="shared" si="1"/>
        <v>0.73776559171545275</v>
      </c>
    </row>
    <row r="33" spans="2:15" ht="12" customHeight="1" x14ac:dyDescent="0.2">
      <c r="B33" t="s">
        <v>141</v>
      </c>
      <c r="E33" s="6">
        <f>(Input!A53-Input!A73+Input!A93)/Input!A$7</f>
        <v>5.0276461887387836</v>
      </c>
      <c r="F33" s="6">
        <f>(Input!B53-Input!B73+Input!B93)/Input!B$7</f>
        <v>3.7554301717014047</v>
      </c>
      <c r="G33" s="6">
        <f>(Input!C53-Input!C73+Input!C93)/Input!C$7</f>
        <v>2.9504535855293361</v>
      </c>
      <c r="H33" s="6">
        <f>(Input!D53-Input!D73+Input!D93)/Input!D$7</f>
        <v>2.7088696051423322</v>
      </c>
      <c r="I33" s="6">
        <f>(Input!E53-Input!E73+Input!E93)/Input!E$7</f>
        <v>3.1805895316804405</v>
      </c>
      <c r="J33" s="6">
        <f>(Input!F53-Input!F73+Input!F93)/Input!F$7</f>
        <v>3.3729137658962216</v>
      </c>
      <c r="K33" s="6">
        <f>(Input!G53-Input!G73+Input!G93)/Input!G$7</f>
        <v>3.3310052910052907</v>
      </c>
      <c r="L33" s="6">
        <f>(Input!H53-Input!H73+Input!H93)/Input!H$7</f>
        <v>3.2326139674781462</v>
      </c>
      <c r="M33" s="6">
        <f>(Input!I53-Input!I73+Input!I93)/Input!I$7</f>
        <v>2.6915424552001341</v>
      </c>
      <c r="N33" s="6">
        <f>(Input!J53-Input!J73+Input!J93)/Input!J$7</f>
        <v>3.4202290529314032</v>
      </c>
      <c r="O33" s="6">
        <f t="shared" si="1"/>
        <v>3.3671293615303499</v>
      </c>
    </row>
    <row r="34" spans="2:15" ht="12" customHeight="1" x14ac:dyDescent="0.2">
      <c r="B34" t="s">
        <v>142</v>
      </c>
      <c r="E34" s="6">
        <f>(Input!A54-Input!A74+Input!A94)/Input!A$7</f>
        <v>1.0392249285080368</v>
      </c>
      <c r="F34" s="6">
        <f>(Input!B54-Input!B74+Input!B94)/Input!B$7</f>
        <v>0.91657056285005956</v>
      </c>
      <c r="G34" s="6">
        <f>(Input!C54-Input!C74+Input!C94)/Input!C$7</f>
        <v>1.0074814066660545</v>
      </c>
      <c r="H34" s="6">
        <f>(Input!D54-Input!D74+Input!D94)/Input!D$7</f>
        <v>0.93005417814508717</v>
      </c>
      <c r="I34" s="6">
        <f>(Input!E54-Input!E74+Input!E94)/Input!E$7</f>
        <v>0.91657024793388442</v>
      </c>
      <c r="J34" s="6">
        <f>(Input!F54-Input!F74+Input!F94)/Input!F$7</f>
        <v>0.87036294439803197</v>
      </c>
      <c r="K34" s="6">
        <f>(Input!G54-Input!G74+Input!G94)/Input!G$7</f>
        <v>0.87754107490949596</v>
      </c>
      <c r="L34" s="6">
        <f>(Input!H54-Input!H74+Input!H94)/Input!H$7</f>
        <v>0.95532662844252292</v>
      </c>
      <c r="M34" s="6">
        <f>(Input!I54-Input!I74+Input!I94)/Input!I$7</f>
        <v>0.94211689834198631</v>
      </c>
      <c r="N34" s="6">
        <f>(Input!J54-Input!J74+Input!J94)/Input!J$7</f>
        <v>1.8010799905055779</v>
      </c>
      <c r="O34" s="6">
        <f t="shared" si="1"/>
        <v>1.0256328860700736</v>
      </c>
    </row>
    <row r="35" spans="2:15" ht="12" customHeight="1" x14ac:dyDescent="0.2">
      <c r="B35" t="s">
        <v>143</v>
      </c>
      <c r="E35" s="6">
        <f>(Input!A55-Input!A75+Input!A95)/Input!A$7</f>
        <v>7.8628646090129175</v>
      </c>
      <c r="F35" s="6">
        <f>(Input!B55-Input!B75+Input!B95)/Input!B$7</f>
        <v>7.8186594435772658</v>
      </c>
      <c r="G35" s="6">
        <f>(Input!C55-Input!C75+Input!C95)/Input!C$7</f>
        <v>7.3721705995776325</v>
      </c>
      <c r="H35" s="6">
        <f>(Input!D55-Input!D75+Input!D95)/Input!D$7</f>
        <v>6.7510707070707072</v>
      </c>
      <c r="I35" s="6">
        <f>(Input!E55-Input!E75+Input!E95)/Input!E$7</f>
        <v>6.8934536271809002</v>
      </c>
      <c r="J35" s="6">
        <f>(Input!F55-Input!F75+Input!F95)/Input!F$7</f>
        <v>6.4687747145641881</v>
      </c>
      <c r="K35" s="6">
        <f>(Input!G55-Input!G75+Input!G95)/Input!G$7</f>
        <v>6.4114712707695158</v>
      </c>
      <c r="L35" s="6">
        <f>(Input!H55-Input!H75+Input!H95)/Input!H$7</f>
        <v>7.1172168436883156</v>
      </c>
      <c r="M35" s="6">
        <f>(Input!I55-Input!I75+Input!I95)/Input!I$7</f>
        <v>7.1555702562384864</v>
      </c>
      <c r="N35" s="6">
        <f>(Input!J55-Input!J75+Input!J95)/Input!J$7</f>
        <v>8.4608485639686659</v>
      </c>
      <c r="O35" s="6">
        <f t="shared" si="1"/>
        <v>7.2312100635648591</v>
      </c>
    </row>
    <row r="36" spans="2:15" ht="13.5" customHeight="1" x14ac:dyDescent="0.2">
      <c r="B36" s="4" t="s">
        <v>144</v>
      </c>
      <c r="E36" s="8">
        <f>SUM(E32:E35)</f>
        <v>14.209645991519574</v>
      </c>
      <c r="F36" s="8">
        <f t="shared" ref="F36:N36" si="7">SUM(F32:F35)</f>
        <v>12.743719584978422</v>
      </c>
      <c r="G36" s="8">
        <f t="shared" si="7"/>
        <v>11.656925902121017</v>
      </c>
      <c r="H36" s="8">
        <f t="shared" si="7"/>
        <v>11.191256198347107</v>
      </c>
      <c r="I36" s="8">
        <f t="shared" si="7"/>
        <v>12.476575757575757</v>
      </c>
      <c r="J36" s="8">
        <f t="shared" si="7"/>
        <v>12.400269191497262</v>
      </c>
      <c r="K36" s="8">
        <f t="shared" si="7"/>
        <v>11.328503666573841</v>
      </c>
      <c r="L36" s="8">
        <f t="shared" si="7"/>
        <v>11.970040417332456</v>
      </c>
      <c r="M36" s="8">
        <f t="shared" si="7"/>
        <v>11.424699380338303</v>
      </c>
      <c r="N36" s="8">
        <f t="shared" si="7"/>
        <v>14.215742938523615</v>
      </c>
      <c r="O36" s="8">
        <f t="shared" si="1"/>
        <v>12.361737902880737</v>
      </c>
    </row>
    <row r="37" spans="2:15" ht="6" customHeight="1" x14ac:dyDescent="0.2">
      <c r="B37" s="4"/>
      <c r="E37" s="8"/>
      <c r="F37" s="8"/>
      <c r="G37" s="8"/>
      <c r="H37" s="8"/>
      <c r="I37" s="8"/>
      <c r="J37" s="8"/>
      <c r="K37" s="8"/>
      <c r="L37" s="8"/>
      <c r="M37" s="8"/>
      <c r="N37" s="8"/>
      <c r="O37" s="6"/>
    </row>
    <row r="38" spans="2:15" ht="13.5" customHeight="1" x14ac:dyDescent="0.2">
      <c r="B38" s="4" t="s">
        <v>145</v>
      </c>
      <c r="E38" s="8">
        <f>(Input!A56-Input!A76+Input!A96)/Input!A$7</f>
        <v>21.426866186766592</v>
      </c>
      <c r="F38" s="8">
        <f>(Input!B56-Input!B76+Input!B96)/Input!B$7</f>
        <v>21.435782756404375</v>
      </c>
      <c r="G38" s="8">
        <f>(Input!C56-Input!C76+Input!C96)/Input!C$7</f>
        <v>16.341067854191536</v>
      </c>
      <c r="H38" s="8">
        <f>(Input!D56-Input!D76+Input!D96)/Input!D$7</f>
        <v>15.15569880624426</v>
      </c>
      <c r="I38" s="8">
        <f>(Input!E56-Input!E76+Input!E96)/Input!E$7</f>
        <v>14.385885215794307</v>
      </c>
      <c r="J38" s="8">
        <f>(Input!F56-Input!F76+Input!F96)/Input!F$7</f>
        <v>18.283894922491413</v>
      </c>
      <c r="K38" s="8">
        <f>(Input!G56-Input!G76+Input!G96)/Input!G$7</f>
        <v>17.640339738234477</v>
      </c>
      <c r="L38" s="8">
        <f>(Input!H56-Input!H76+Input!H96)/Input!H$7</f>
        <v>18.183928940689913</v>
      </c>
      <c r="M38" s="8">
        <f>(Input!I56-Input!I76+Input!I96)/Input!I$7</f>
        <v>14.317114386199965</v>
      </c>
      <c r="N38" s="8">
        <f>(Input!J56-Input!J76+Input!J96)/Input!J$7</f>
        <v>19.023546166627106</v>
      </c>
      <c r="O38" s="8">
        <f t="shared" si="1"/>
        <v>17.619412497364394</v>
      </c>
    </row>
    <row r="39" spans="2:15" ht="6" customHeight="1" x14ac:dyDescent="0.2">
      <c r="B39" s="4"/>
      <c r="E39" s="8"/>
      <c r="F39" s="8"/>
      <c r="G39" s="8"/>
      <c r="H39" s="8"/>
      <c r="I39" s="8"/>
      <c r="J39" s="8"/>
      <c r="K39" s="8"/>
      <c r="L39" s="8"/>
      <c r="M39" s="8"/>
      <c r="N39" s="8"/>
      <c r="O39" s="6"/>
    </row>
    <row r="40" spans="2:15" x14ac:dyDescent="0.2">
      <c r="B40" s="9" t="s">
        <v>67</v>
      </c>
      <c r="C40" s="10"/>
      <c r="D40" s="10"/>
      <c r="E40" s="11">
        <f>SUM(E10,E15,E19,E26,E30,E36,E38)</f>
        <v>510.06497386845467</v>
      </c>
      <c r="F40" s="11">
        <f t="shared" ref="F40:N40" si="8">SUM(F10,F15,F19,F26,F30,F36,F38)</f>
        <v>508.58096409879721</v>
      </c>
      <c r="G40" s="11">
        <f t="shared" si="8"/>
        <v>431.14026443852725</v>
      </c>
      <c r="H40" s="11">
        <f t="shared" si="8"/>
        <v>441.95037465564735</v>
      </c>
      <c r="I40" s="11">
        <f t="shared" si="8"/>
        <v>454.24103305785121</v>
      </c>
      <c r="J40" s="11">
        <f t="shared" si="8"/>
        <v>447.14336767845543</v>
      </c>
      <c r="K40" s="11">
        <f t="shared" si="8"/>
        <v>445.53425229741021</v>
      </c>
      <c r="L40" s="11">
        <f t="shared" si="8"/>
        <v>451.48060625998681</v>
      </c>
      <c r="M40" s="11">
        <f t="shared" si="8"/>
        <v>462.30637246692351</v>
      </c>
      <c r="N40" s="11">
        <f t="shared" si="8"/>
        <v>529.84326726797997</v>
      </c>
      <c r="O40" s="11">
        <f t="shared" si="1"/>
        <v>468.22854760900339</v>
      </c>
    </row>
  </sheetData>
  <mergeCells count="3">
    <mergeCell ref="D1:M1"/>
    <mergeCell ref="D2:M2"/>
    <mergeCell ref="D3:M3"/>
  </mergeCells>
  <phoneticPr fontId="0" type="noConversion"/>
  <pageMargins left="0.78740157480314965" right="0.78740157480314965" top="0.78740157480314965" bottom="0.78740157480314965" header="0.43307086614173229" footer="0.43307086614173229"/>
  <pageSetup paperSize="9" orientation="landscape" horizontalDpi="0" r:id="rId1"/>
  <headerFooter alignWithMargins="0">
    <oddFooter>&amp;L&amp;8BOKU / HVLFÖ&amp;C&amp;8DVR-Nr: 0890723&amp;R&amp;8&amp;D</oddFooter>
  </headerFooter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400-000000000000}">
  <dimension ref="A1:O32"/>
  <sheetViews>
    <sheetView workbookViewId="0">
      <selection activeCell="D2" sqref="D2:M2"/>
    </sheetView>
  </sheetViews>
  <sheetFormatPr baseColWidth="10" defaultRowHeight="12.75" x14ac:dyDescent="0.2"/>
  <cols>
    <col min="1" max="1" width="0.85546875" customWidth="1"/>
    <col min="2" max="2" width="10.28515625" customWidth="1"/>
    <col min="3" max="3" width="8.5703125" customWidth="1"/>
    <col min="4" max="4" width="9.7109375" customWidth="1"/>
    <col min="5" max="14" width="8.7109375" customWidth="1"/>
    <col min="15" max="15" width="10.7109375" customWidth="1"/>
  </cols>
  <sheetData>
    <row r="1" spans="1:15" ht="15.75" customHeight="1" x14ac:dyDescent="0.25">
      <c r="A1" t="s">
        <v>48</v>
      </c>
      <c r="C1" s="12">
        <f>Input!A3</f>
        <v>2024</v>
      </c>
      <c r="D1" s="36" t="s">
        <v>17</v>
      </c>
      <c r="E1" s="36"/>
      <c r="F1" s="36"/>
      <c r="G1" s="36"/>
      <c r="H1" s="36"/>
      <c r="I1" s="36"/>
      <c r="J1" s="36"/>
      <c r="K1" s="36"/>
      <c r="L1" s="36"/>
      <c r="M1" s="36"/>
      <c r="O1" s="3" t="s">
        <v>247</v>
      </c>
    </row>
    <row r="2" spans="1:15" ht="15.75" customHeight="1" x14ac:dyDescent="0.2">
      <c r="D2" s="37" t="str">
        <f>Kenndat!D2</f>
        <v>Produktionsgebiet 1: Alpenvorland</v>
      </c>
      <c r="E2" s="37"/>
      <c r="F2" s="37"/>
      <c r="G2" s="37"/>
      <c r="H2" s="37"/>
      <c r="I2" s="37"/>
      <c r="J2" s="37"/>
      <c r="K2" s="37"/>
      <c r="L2" s="37"/>
      <c r="M2" s="37"/>
      <c r="N2" s="5"/>
    </row>
    <row r="3" spans="1:15" ht="15.75" customHeight="1" x14ac:dyDescent="0.2">
      <c r="D3" s="38" t="s">
        <v>18</v>
      </c>
      <c r="E3" s="38"/>
      <c r="F3" s="38"/>
      <c r="G3" s="38"/>
      <c r="H3" s="38"/>
      <c r="I3" s="38"/>
      <c r="J3" s="38"/>
      <c r="K3" s="38"/>
      <c r="L3" s="38"/>
      <c r="M3" s="38"/>
      <c r="N3" s="2"/>
    </row>
    <row r="4" spans="1:15" ht="28.5" customHeight="1" x14ac:dyDescent="0.2"/>
    <row r="5" spans="1:15" x14ac:dyDescent="0.2">
      <c r="E5" s="3">
        <f>Input!A3</f>
        <v>2024</v>
      </c>
      <c r="F5" s="3">
        <f>+E5-1</f>
        <v>2023</v>
      </c>
      <c r="G5" s="3">
        <f t="shared" ref="G5:N5" si="0">+F5-1</f>
        <v>2022</v>
      </c>
      <c r="H5" s="3">
        <f t="shared" si="0"/>
        <v>2021</v>
      </c>
      <c r="I5" s="3">
        <f t="shared" si="0"/>
        <v>2020</v>
      </c>
      <c r="J5" s="3">
        <f t="shared" si="0"/>
        <v>2019</v>
      </c>
      <c r="K5" s="3">
        <f t="shared" si="0"/>
        <v>2018</v>
      </c>
      <c r="L5" s="3">
        <f t="shared" si="0"/>
        <v>2017</v>
      </c>
      <c r="M5" s="3">
        <f t="shared" si="0"/>
        <v>2016</v>
      </c>
      <c r="N5" s="3">
        <f t="shared" si="0"/>
        <v>2015</v>
      </c>
      <c r="O5" s="3" t="s">
        <v>16</v>
      </c>
    </row>
    <row r="6" spans="1:15" ht="12.75" customHeight="1" x14ac:dyDescent="0.2">
      <c r="E6" s="12"/>
      <c r="F6" s="3"/>
      <c r="G6" s="3"/>
      <c r="H6" s="3"/>
      <c r="I6" s="3"/>
      <c r="J6" s="3"/>
      <c r="K6" s="3"/>
      <c r="L6" s="3"/>
      <c r="M6" s="3"/>
      <c r="N6" s="3"/>
      <c r="O6" s="3"/>
    </row>
    <row r="7" spans="1:15" x14ac:dyDescent="0.2">
      <c r="B7" t="s">
        <v>72</v>
      </c>
      <c r="E7" s="12"/>
      <c r="F7" s="3"/>
      <c r="G7" s="3"/>
      <c r="H7" s="3"/>
      <c r="I7" s="3"/>
      <c r="J7" s="3"/>
      <c r="K7" s="3"/>
      <c r="L7" s="3"/>
      <c r="M7" s="3"/>
      <c r="N7" s="3"/>
      <c r="O7" s="3"/>
    </row>
    <row r="8" spans="1:15" ht="6" customHeight="1" x14ac:dyDescent="0.2"/>
    <row r="9" spans="1:15" s="13" customFormat="1" ht="13.5" customHeight="1" x14ac:dyDescent="0.2">
      <c r="B9" s="13" t="s">
        <v>55</v>
      </c>
      <c r="E9" s="16">
        <f>'Kst-ha-ES'!E13/'Kst-ha-ES'!E31*100</f>
        <v>20.038733280292782</v>
      </c>
      <c r="F9" s="16">
        <f>'Kst-ha-ES'!F13/'Kst-ha-ES'!F31*100</f>
        <v>17.103570067112322</v>
      </c>
      <c r="G9" s="16">
        <f>'Kst-ha-ES'!G13/'Kst-ha-ES'!G31*100</f>
        <v>17.60355658108919</v>
      </c>
      <c r="H9" s="16">
        <f>'Kst-ha-ES'!H13/'Kst-ha-ES'!H31*100</f>
        <v>19.286098590256298</v>
      </c>
      <c r="I9" s="16">
        <f>'Kst-ha-ES'!I13/'Kst-ha-ES'!I31*100</f>
        <v>19.991226114459529</v>
      </c>
      <c r="J9" s="16">
        <f>'Kst-ha-ES'!J13/'Kst-ha-ES'!J31*100</f>
        <v>18.921097364871788</v>
      </c>
      <c r="K9" s="16">
        <f>'Kst-ha-ES'!K13/'Kst-ha-ES'!K31*100</f>
        <v>19.422859814975666</v>
      </c>
      <c r="L9" s="16">
        <f>'Kst-ha-ES'!L13/'Kst-ha-ES'!L31*100</f>
        <v>16.749286784162134</v>
      </c>
      <c r="M9" s="16">
        <f>'Kst-ha-ES'!M13/'Kst-ha-ES'!M31*100</f>
        <v>25.198340426608297</v>
      </c>
      <c r="N9" s="16">
        <f>'Kst-ha-ES'!N13/'Kst-ha-ES'!N31*100</f>
        <v>15.081306759640803</v>
      </c>
      <c r="O9" s="16">
        <f t="shared" ref="O9:O28" si="1">AVERAGE(E9:N9)</f>
        <v>18.93960757834688</v>
      </c>
    </row>
    <row r="10" spans="1:15" s="13" customFormat="1" ht="13.5" customHeight="1" x14ac:dyDescent="0.2">
      <c r="B10" s="13" t="s">
        <v>60</v>
      </c>
      <c r="E10" s="16">
        <f>'Kst-ha-ES'!E19/'Kst-ha-ES'!E31*100</f>
        <v>50.687058443056856</v>
      </c>
      <c r="F10" s="16">
        <f>'Kst-ha-ES'!F19/'Kst-ha-ES'!F31*100</f>
        <v>46.079057076446411</v>
      </c>
      <c r="G10" s="16">
        <f>'Kst-ha-ES'!G19/'Kst-ha-ES'!G31*100</f>
        <v>46.230980844442492</v>
      </c>
      <c r="H10" s="16">
        <f>'Kst-ha-ES'!H19/'Kst-ha-ES'!H31*100</f>
        <v>46.180335238117834</v>
      </c>
      <c r="I10" s="16">
        <f>'Kst-ha-ES'!I19/'Kst-ha-ES'!I31*100</f>
        <v>45.506720118393261</v>
      </c>
      <c r="J10" s="16">
        <f>'Kst-ha-ES'!J19/'Kst-ha-ES'!J31*100</f>
        <v>47.86936043449527</v>
      </c>
      <c r="K10" s="16">
        <f>'Kst-ha-ES'!K19/'Kst-ha-ES'!K31*100</f>
        <v>46.155991263483884</v>
      </c>
      <c r="L10" s="16">
        <f>'Kst-ha-ES'!L19/'Kst-ha-ES'!L31*100</f>
        <v>47.126859673299336</v>
      </c>
      <c r="M10" s="16">
        <f>'Kst-ha-ES'!M19/'Kst-ha-ES'!M31*100</f>
        <v>41.003003777955001</v>
      </c>
      <c r="N10" s="16">
        <f>'Kst-ha-ES'!N19/'Kst-ha-ES'!N31*100</f>
        <v>44.858236785859567</v>
      </c>
      <c r="O10" s="16">
        <f t="shared" si="1"/>
        <v>46.169760365554993</v>
      </c>
    </row>
    <row r="11" spans="1:15" s="13" customFormat="1" ht="13.5" customHeight="1" x14ac:dyDescent="0.2">
      <c r="B11" s="13" t="s">
        <v>63</v>
      </c>
      <c r="E11" s="16">
        <f>'Kst-ha-ES'!E24/'Kst-ha-ES'!E31*100</f>
        <v>9.3270820331597672</v>
      </c>
      <c r="F11" s="16">
        <f>'Kst-ha-ES'!F24/'Kst-ha-ES'!F31*100</f>
        <v>11.403168445995147</v>
      </c>
      <c r="G11" s="16">
        <f>'Kst-ha-ES'!G24/'Kst-ha-ES'!G31*100</f>
        <v>9.8032683240147254</v>
      </c>
      <c r="H11" s="16">
        <f>'Kst-ha-ES'!H24/'Kst-ha-ES'!H31*100</f>
        <v>8.6078267365490682</v>
      </c>
      <c r="I11" s="16">
        <f>'Kst-ha-ES'!I24/'Kst-ha-ES'!I31*100</f>
        <v>9.1555253685944713</v>
      </c>
      <c r="J11" s="16">
        <f>'Kst-ha-ES'!J24/'Kst-ha-ES'!J31*100</f>
        <v>7.8096002522178427</v>
      </c>
      <c r="K11" s="16">
        <f>'Kst-ha-ES'!K24/'Kst-ha-ES'!K31*100</f>
        <v>8.838143751586033</v>
      </c>
      <c r="L11" s="16">
        <f>'Kst-ha-ES'!L24/'Kst-ha-ES'!L31*100</f>
        <v>10.645784953063846</v>
      </c>
      <c r="M11" s="16">
        <f>'Kst-ha-ES'!M24/'Kst-ha-ES'!M31*100</f>
        <v>9.006035420053454</v>
      </c>
      <c r="N11" s="16">
        <f>'Kst-ha-ES'!N24/'Kst-ha-ES'!N31*100</f>
        <v>17.652879413077109</v>
      </c>
      <c r="O11" s="16">
        <f t="shared" si="1"/>
        <v>10.224931469831144</v>
      </c>
    </row>
    <row r="12" spans="1:15" s="13" customFormat="1" ht="13.5" customHeight="1" x14ac:dyDescent="0.2">
      <c r="B12" s="13" t="s">
        <v>15</v>
      </c>
      <c r="E12" s="16">
        <f>'Kst-ha-ES'!E29/'Kst-ha-ES'!E31*100</f>
        <v>19.947126243490594</v>
      </c>
      <c r="F12" s="16">
        <f>'Kst-ha-ES'!F29/'Kst-ha-ES'!F31*100</f>
        <v>25.414204410446118</v>
      </c>
      <c r="G12" s="16">
        <f>'Kst-ha-ES'!G29/'Kst-ha-ES'!G31*100</f>
        <v>26.362194250453584</v>
      </c>
      <c r="H12" s="16">
        <f>'Kst-ha-ES'!H29/'Kst-ha-ES'!H31*100</f>
        <v>25.9257394350768</v>
      </c>
      <c r="I12" s="16">
        <f>'Kst-ha-ES'!I29/'Kst-ha-ES'!I31*100</f>
        <v>25.346528398552742</v>
      </c>
      <c r="J12" s="16">
        <f>'Kst-ha-ES'!J29/'Kst-ha-ES'!J31*100</f>
        <v>25.399941948415094</v>
      </c>
      <c r="K12" s="16">
        <f>'Kst-ha-ES'!K29/'Kst-ha-ES'!K31*100</f>
        <v>25.583005169954419</v>
      </c>
      <c r="L12" s="16">
        <f>'Kst-ha-ES'!L29/'Kst-ha-ES'!L31*100</f>
        <v>25.478068589474685</v>
      </c>
      <c r="M12" s="16">
        <f>'Kst-ha-ES'!M29/'Kst-ha-ES'!M31*100</f>
        <v>24.792620375383251</v>
      </c>
      <c r="N12" s="16">
        <f>'Kst-ha-ES'!N29/'Kst-ha-ES'!N31*100</f>
        <v>22.407577041422517</v>
      </c>
      <c r="O12" s="16">
        <f t="shared" si="1"/>
        <v>24.665700586266979</v>
      </c>
    </row>
    <row r="13" spans="1:15" s="13" customFormat="1" ht="12.75" customHeight="1" x14ac:dyDescent="0.2">
      <c r="E13" s="16"/>
      <c r="F13" s="16"/>
      <c r="G13" s="16"/>
      <c r="H13" s="16"/>
      <c r="I13" s="16"/>
      <c r="J13" s="16"/>
      <c r="K13" s="16"/>
      <c r="L13" s="16"/>
      <c r="M13" s="16"/>
      <c r="N13" s="16"/>
      <c r="O13" s="16"/>
    </row>
    <row r="14" spans="1:15" s="13" customFormat="1" x14ac:dyDescent="0.2">
      <c r="B14" s="13" t="s">
        <v>119</v>
      </c>
      <c r="E14" s="16"/>
      <c r="F14" s="16"/>
      <c r="G14" s="16"/>
      <c r="H14" s="16"/>
      <c r="I14" s="16"/>
      <c r="J14" s="16"/>
      <c r="K14" s="16"/>
      <c r="L14" s="16"/>
      <c r="M14" s="16"/>
      <c r="N14" s="16"/>
      <c r="O14" s="16"/>
    </row>
    <row r="15" spans="1:15" s="13" customFormat="1" ht="6" customHeight="1" x14ac:dyDescent="0.2">
      <c r="E15" s="16"/>
      <c r="F15" s="16"/>
      <c r="G15" s="16"/>
      <c r="H15" s="16"/>
      <c r="I15" s="16"/>
      <c r="J15" s="16"/>
      <c r="K15" s="16"/>
      <c r="L15" s="16"/>
      <c r="M15" s="16"/>
      <c r="N15" s="16"/>
      <c r="O15" s="16"/>
    </row>
    <row r="16" spans="1:15" s="13" customFormat="1" ht="13.5" customHeight="1" x14ac:dyDescent="0.2">
      <c r="B16" s="13" t="s">
        <v>123</v>
      </c>
      <c r="E16" s="16">
        <f>'KOA-ha-ES'!E10/'KOA-ha-ES'!E40*100</f>
        <v>13.872463431005686</v>
      </c>
      <c r="F16" s="16">
        <f>'KOA-ha-ES'!F10/'KOA-ha-ES'!F40*100</f>
        <v>13.97953275407113</v>
      </c>
      <c r="G16" s="16">
        <f>'KOA-ha-ES'!G10/'KOA-ha-ES'!G40*100</f>
        <v>14.764050524111571</v>
      </c>
      <c r="H16" s="16">
        <f>'KOA-ha-ES'!H10/'KOA-ha-ES'!H40*100</f>
        <v>15.142196557966415</v>
      </c>
      <c r="I16" s="16">
        <f>'KOA-ha-ES'!I10/'KOA-ha-ES'!I40*100</f>
        <v>18.162157482560875</v>
      </c>
      <c r="J16" s="16">
        <f>'KOA-ha-ES'!J10/'KOA-ha-ES'!J40*100</f>
        <v>18.183181837329911</v>
      </c>
      <c r="K16" s="16">
        <f>'KOA-ha-ES'!K10/'KOA-ha-ES'!K40*100</f>
        <v>17.034634734769202</v>
      </c>
      <c r="L16" s="16">
        <f>'KOA-ha-ES'!L10/'KOA-ha-ES'!L40*100</f>
        <v>17.641817863537486</v>
      </c>
      <c r="M16" s="16">
        <f>'KOA-ha-ES'!M10/'KOA-ha-ES'!M40*100</f>
        <v>19.67592520064467</v>
      </c>
      <c r="N16" s="16">
        <f>'KOA-ha-ES'!N10/'KOA-ha-ES'!N40*100</f>
        <v>19.79064080800876</v>
      </c>
      <c r="O16" s="16">
        <f t="shared" si="1"/>
        <v>16.824660119400569</v>
      </c>
    </row>
    <row r="17" spans="1:15" s="13" customFormat="1" ht="13.5" customHeight="1" x14ac:dyDescent="0.2">
      <c r="B17" s="13" t="s">
        <v>130</v>
      </c>
      <c r="E17" s="16">
        <f>'KOA-ha-ES'!E15/'KOA-ha-ES'!E40*100</f>
        <v>11.116743402268678</v>
      </c>
      <c r="F17" s="16">
        <f>'KOA-ha-ES'!F15/'KOA-ha-ES'!F40*100</f>
        <v>12.08273396828659</v>
      </c>
      <c r="G17" s="16">
        <f>'KOA-ha-ES'!G15/'KOA-ha-ES'!G40*100</f>
        <v>12.290281824446806</v>
      </c>
      <c r="H17" s="16">
        <f>'KOA-ha-ES'!H15/'KOA-ha-ES'!H40*100</f>
        <v>13.704273185893687</v>
      </c>
      <c r="I17" s="16">
        <f>'KOA-ha-ES'!I15/'KOA-ha-ES'!I40*100</f>
        <v>13.530250629274404</v>
      </c>
      <c r="J17" s="16">
        <f>'KOA-ha-ES'!J15/'KOA-ha-ES'!J40*100</f>
        <v>13.808290916008334</v>
      </c>
      <c r="K17" s="16">
        <f>'KOA-ha-ES'!K15/'KOA-ha-ES'!K40*100</f>
        <v>13.596651957604871</v>
      </c>
      <c r="L17" s="16">
        <f>'KOA-ha-ES'!L15/'KOA-ha-ES'!L40*100</f>
        <v>14.069881255458396</v>
      </c>
      <c r="M17" s="16">
        <f>'KOA-ha-ES'!M15/'KOA-ha-ES'!M40*100</f>
        <v>12.065326958503485</v>
      </c>
      <c r="N17" s="16">
        <f>'KOA-ha-ES'!N15/'KOA-ha-ES'!N40*100</f>
        <v>11.802539404202097</v>
      </c>
      <c r="O17" s="16">
        <f t="shared" si="1"/>
        <v>12.806697350194735</v>
      </c>
    </row>
    <row r="18" spans="1:15" s="13" customFormat="1" ht="13.5" customHeight="1" x14ac:dyDescent="0.2">
      <c r="B18" s="13" t="s">
        <v>129</v>
      </c>
      <c r="E18" s="16">
        <f>'KOA-ha-ES'!E19/'KOA-ha-ES'!E40*100</f>
        <v>7.3058915165512621</v>
      </c>
      <c r="F18" s="16">
        <f>'KOA-ha-ES'!F19/'KOA-ha-ES'!F40*100</f>
        <v>7.3258075347217666</v>
      </c>
      <c r="G18" s="16">
        <f>'KOA-ha-ES'!G19/'KOA-ha-ES'!G40*100</f>
        <v>7.6024763504393151</v>
      </c>
      <c r="H18" s="16">
        <f>'KOA-ha-ES'!H19/'KOA-ha-ES'!H40*100</f>
        <v>6.5977029221319761</v>
      </c>
      <c r="I18" s="16">
        <f>'KOA-ha-ES'!I19/'KOA-ha-ES'!I40*100</f>
        <v>7.9169225492419057</v>
      </c>
      <c r="J18" s="16">
        <f>'KOA-ha-ES'!J19/'KOA-ha-ES'!J40*100</f>
        <v>6.9225484533283339</v>
      </c>
      <c r="K18" s="16">
        <f>'KOA-ha-ES'!K19/'KOA-ha-ES'!K40*100</f>
        <v>6.4888966838411335</v>
      </c>
      <c r="L18" s="16">
        <f>'KOA-ha-ES'!L19/'KOA-ha-ES'!L40*100</f>
        <v>6.5030888341840853</v>
      </c>
      <c r="M18" s="16">
        <f>'KOA-ha-ES'!M19/'KOA-ha-ES'!M40*100</f>
        <v>6.1479112068984563</v>
      </c>
      <c r="N18" s="16">
        <f>'KOA-ha-ES'!N19/'KOA-ha-ES'!N40*100</f>
        <v>8.9619566598054377</v>
      </c>
      <c r="O18" s="16">
        <f t="shared" si="1"/>
        <v>7.1773202711143664</v>
      </c>
    </row>
    <row r="19" spans="1:15" s="13" customFormat="1" ht="13.5" customHeight="1" x14ac:dyDescent="0.2">
      <c r="B19" s="13" t="s">
        <v>136</v>
      </c>
      <c r="E19" s="16">
        <f>'KOA-ha-ES'!E26/'KOA-ha-ES'!E40*100</f>
        <v>57.895240960995039</v>
      </c>
      <c r="F19" s="16">
        <f>'KOA-ha-ES'!F26/'KOA-ha-ES'!F40*100</f>
        <v>56.405641882087451</v>
      </c>
      <c r="G19" s="16">
        <f>'KOA-ha-ES'!G26/'KOA-ha-ES'!G40*100</f>
        <v>55.267739175983742</v>
      </c>
      <c r="H19" s="16">
        <f>'KOA-ha-ES'!H26/'KOA-ha-ES'!H40*100</f>
        <v>55.785679496839421</v>
      </c>
      <c r="I19" s="16">
        <f>'KOA-ha-ES'!I26/'KOA-ha-ES'!I40*100</f>
        <v>51.334178070662396</v>
      </c>
      <c r="J19" s="16">
        <f>'KOA-ha-ES'!J26/'KOA-ha-ES'!J40*100</f>
        <v>51.171763699578953</v>
      </c>
      <c r="K19" s="16">
        <f>'KOA-ha-ES'!K26/'KOA-ha-ES'!K40*100</f>
        <v>53.175807776935969</v>
      </c>
      <c r="L19" s="16">
        <f>'KOA-ha-ES'!L26/'KOA-ha-ES'!L40*100</f>
        <v>51.925838791727749</v>
      </c>
      <c r="M19" s="16">
        <f>'KOA-ha-ES'!M26/'KOA-ha-ES'!M40*100</f>
        <v>53.372137964999546</v>
      </c>
      <c r="N19" s="16">
        <f>'KOA-ha-ES'!N26/'KOA-ha-ES'!N40*100</f>
        <v>50.281478912598644</v>
      </c>
      <c r="O19" s="16">
        <f t="shared" si="1"/>
        <v>53.661550673240889</v>
      </c>
    </row>
    <row r="20" spans="1:15" s="13" customFormat="1" ht="13.5" customHeight="1" x14ac:dyDescent="0.2">
      <c r="B20" s="13" t="s">
        <v>139</v>
      </c>
      <c r="E20" s="16">
        <f>'KOA-ha-ES'!E30/'KOA-ha-ES'!E40*100</f>
        <v>3.1892357536226457</v>
      </c>
      <c r="F20" s="16">
        <f>'KOA-ha-ES'!F30/'KOA-ha-ES'!F40*100</f>
        <v>3.4854788553996769</v>
      </c>
      <c r="G20" s="16">
        <f>'KOA-ha-ES'!G30/'KOA-ha-ES'!G40*100</f>
        <v>3.7552632794558685</v>
      </c>
      <c r="H20" s="16">
        <f>'KOA-ha-ES'!H30/'KOA-ha-ES'!H40*100</f>
        <v>2.9521848001021973</v>
      </c>
      <c r="I20" s="16">
        <f>'KOA-ha-ES'!I30/'KOA-ha-ES'!I40*100</f>
        <v>3.1045057832422422</v>
      </c>
      <c r="J20" s="16">
        <f>'KOA-ha-ES'!J30/'KOA-ha-ES'!J40*100</f>
        <v>3.1597418708331659</v>
      </c>
      <c r="K20" s="16">
        <f>'KOA-ha-ES'!K30/'KOA-ha-ES'!K40*100</f>
        <v>3.2177454557907521</v>
      </c>
      <c r="L20" s="16">
        <f>'KOA-ha-ES'!L30/'KOA-ha-ES'!L40*100</f>
        <v>3.0810481930399884</v>
      </c>
      <c r="M20" s="16">
        <f>'KOA-ha-ES'!M30/'KOA-ha-ES'!M40*100</f>
        <v>3.1538574995388693</v>
      </c>
      <c r="N20" s="16">
        <f>'KOA-ha-ES'!N30/'KOA-ha-ES'!N40*100</f>
        <v>3.3056628427816426</v>
      </c>
      <c r="O20" s="16">
        <f t="shared" si="1"/>
        <v>3.2404724333807047</v>
      </c>
    </row>
    <row r="21" spans="1:15" s="13" customFormat="1" ht="13.5" customHeight="1" x14ac:dyDescent="0.2">
      <c r="B21" s="13" t="s">
        <v>144</v>
      </c>
      <c r="E21" s="16">
        <f>'KOA-ha-ES'!E36/'KOA-ha-ES'!E40*100</f>
        <v>2.6940925965251199</v>
      </c>
      <c r="F21" s="16">
        <f>'KOA-ha-ES'!F36/'KOA-ha-ES'!F40*100</f>
        <v>2.5638618024776001</v>
      </c>
      <c r="G21" s="16">
        <f>'KOA-ha-ES'!G36/'KOA-ha-ES'!G40*100</f>
        <v>2.5995249896264738</v>
      </c>
      <c r="H21" s="16">
        <f>'KOA-ha-ES'!H36/'KOA-ha-ES'!H40*100</f>
        <v>2.4479215979720226</v>
      </c>
      <c r="I21" s="16">
        <f>'KOA-ha-ES'!I36/'KOA-ha-ES'!I40*100</f>
        <v>2.7655662977610205</v>
      </c>
      <c r="J21" s="16">
        <f>'KOA-ha-ES'!J36/'KOA-ha-ES'!J40*100</f>
        <v>2.7317868366263847</v>
      </c>
      <c r="K21" s="16">
        <f>'KOA-ha-ES'!K36/'KOA-ha-ES'!K40*100</f>
        <v>2.5063475677026141</v>
      </c>
      <c r="L21" s="16">
        <f>'KOA-ha-ES'!L36/'KOA-ha-ES'!L40*100</f>
        <v>2.654533503176828</v>
      </c>
      <c r="M21" s="16">
        <f>'KOA-ha-ES'!M36/'KOA-ha-ES'!M40*100</f>
        <v>2.4840954857070825</v>
      </c>
      <c r="N21" s="16">
        <f>'KOA-ha-ES'!N36/'KOA-ha-ES'!N40*100</f>
        <v>2.4832849915913422</v>
      </c>
      <c r="O21" s="16">
        <f t="shared" si="1"/>
        <v>2.5931015669166495</v>
      </c>
    </row>
    <row r="22" spans="1:15" s="13" customFormat="1" ht="13.5" customHeight="1" x14ac:dyDescent="0.2">
      <c r="B22" s="13" t="s">
        <v>145</v>
      </c>
      <c r="E22" s="16">
        <f>'KOA-ha-ES'!E38/'KOA-ha-ES'!E40*100</f>
        <v>3.9263323390315534</v>
      </c>
      <c r="F22" s="16">
        <f>'KOA-ha-ES'!F38/'KOA-ha-ES'!F40*100</f>
        <v>4.1569432029557847</v>
      </c>
      <c r="G22" s="16">
        <f>'KOA-ha-ES'!G38/'KOA-ha-ES'!G40*100</f>
        <v>3.7206638559362246</v>
      </c>
      <c r="H22" s="16">
        <f>'KOA-ha-ES'!H38/'KOA-ha-ES'!H40*100</f>
        <v>3.3700414390942726</v>
      </c>
      <c r="I22" s="16">
        <f>'KOA-ha-ES'!I38/'KOA-ha-ES'!I40*100</f>
        <v>3.1864191872571626</v>
      </c>
      <c r="J22" s="16">
        <f>'KOA-ha-ES'!J38/'KOA-ha-ES'!J40*100</f>
        <v>4.0226863862949163</v>
      </c>
      <c r="K22" s="16">
        <f>'KOA-ha-ES'!K38/'KOA-ha-ES'!K40*100</f>
        <v>3.9799158233554537</v>
      </c>
      <c r="L22" s="16">
        <f>'KOA-ha-ES'!L38/'KOA-ha-ES'!L40*100</f>
        <v>4.123791558875471</v>
      </c>
      <c r="M22" s="16">
        <f>'KOA-ha-ES'!M38/'KOA-ha-ES'!M40*100</f>
        <v>3.1007456837078959</v>
      </c>
      <c r="N22" s="16">
        <f>'KOA-ha-ES'!N38/'KOA-ha-ES'!N40*100</f>
        <v>3.3744363810120817</v>
      </c>
      <c r="O22" s="16">
        <f t="shared" si="1"/>
        <v>3.6961975857520821</v>
      </c>
    </row>
    <row r="23" spans="1:15" s="13" customFormat="1" ht="12.75" customHeight="1" x14ac:dyDescent="0.2">
      <c r="O23" s="16"/>
    </row>
    <row r="24" spans="1:15" s="14" customFormat="1" x14ac:dyDescent="0.2">
      <c r="B24" s="14" t="s">
        <v>19</v>
      </c>
      <c r="E24" s="15">
        <v>100</v>
      </c>
      <c r="F24" s="15">
        <v>100</v>
      </c>
      <c r="G24" s="15">
        <v>100</v>
      </c>
      <c r="H24" s="15">
        <v>100</v>
      </c>
      <c r="I24" s="15">
        <v>100</v>
      </c>
      <c r="J24" s="15">
        <v>100</v>
      </c>
      <c r="K24" s="15">
        <v>100</v>
      </c>
      <c r="L24" s="15">
        <v>100</v>
      </c>
      <c r="M24" s="15">
        <v>100</v>
      </c>
      <c r="N24" s="15">
        <v>100</v>
      </c>
      <c r="O24" s="15">
        <v>100</v>
      </c>
    </row>
    <row r="25" spans="1:15" s="13" customFormat="1" ht="24" customHeight="1" x14ac:dyDescent="0.2">
      <c r="O25" s="16"/>
    </row>
    <row r="26" spans="1:15" s="13" customFormat="1" ht="13.5" customHeight="1" x14ac:dyDescent="0.2">
      <c r="B26" s="13" t="s">
        <v>68</v>
      </c>
      <c r="E26" s="16">
        <f>'Kst-ha-ES'!E33/'Kst-ha-ES'!E36*100</f>
        <v>89.421857518829938</v>
      </c>
      <c r="F26" s="16">
        <f>'Kst-ha-ES'!F33/'Kst-ha-ES'!F36*100</f>
        <v>88.098412552070243</v>
      </c>
      <c r="G26" s="16">
        <f>'Kst-ha-ES'!G33/'Kst-ha-ES'!G36*100</f>
        <v>90.817933870788707</v>
      </c>
      <c r="H26" s="16">
        <f>'Kst-ha-ES'!H33/'Kst-ha-ES'!H36*100</f>
        <v>91.277508124406253</v>
      </c>
      <c r="I26" s="16">
        <f>'Kst-ha-ES'!I33/'Kst-ha-ES'!I36*100</f>
        <v>89.511963061692086</v>
      </c>
      <c r="J26" s="16">
        <f>'Kst-ha-ES'!J33/'Kst-ha-ES'!J36*100</f>
        <v>92.159023201196803</v>
      </c>
      <c r="K26" s="16">
        <f>'Kst-ha-ES'!K33/'Kst-ha-ES'!K36*100</f>
        <v>89.161892499621317</v>
      </c>
      <c r="L26" s="16">
        <f>'Kst-ha-ES'!L33/'Kst-ha-ES'!L36*100</f>
        <v>92.160786874581007</v>
      </c>
      <c r="M26" s="16">
        <f>'Kst-ha-ES'!M33/'Kst-ha-ES'!M36*100</f>
        <v>91.585529931612157</v>
      </c>
      <c r="N26" s="16">
        <f>'Kst-ha-ES'!N33/'Kst-ha-ES'!N36*100</f>
        <v>92.046815450772513</v>
      </c>
      <c r="O26" s="16">
        <f t="shared" si="1"/>
        <v>90.624172308557121</v>
      </c>
    </row>
    <row r="27" spans="1:15" s="13" customFormat="1" ht="13.5" customHeight="1" x14ac:dyDescent="0.2">
      <c r="B27" s="13" t="s">
        <v>69</v>
      </c>
      <c r="E27" s="16">
        <f>'Kst-ha-ES'!E34/'Kst-ha-ES'!E36*100</f>
        <v>1.87849013413043E-2</v>
      </c>
      <c r="F27" s="16">
        <f>'Kst-ha-ES'!F34/'Kst-ha-ES'!F36*100</f>
        <v>7.0137652905418721E-2</v>
      </c>
      <c r="G27" s="16">
        <f>'Kst-ha-ES'!G34/'Kst-ha-ES'!G36*100</f>
        <v>3.1284326663547385E-2</v>
      </c>
      <c r="H27" s="16">
        <f>'Kst-ha-ES'!H34/'Kst-ha-ES'!H36*100</f>
        <v>0.18072331745179057</v>
      </c>
      <c r="I27" s="16">
        <f>'Kst-ha-ES'!I34/'Kst-ha-ES'!I36*100</f>
        <v>8.9409445271750446E-2</v>
      </c>
      <c r="J27" s="16">
        <f>'Kst-ha-ES'!J34/'Kst-ha-ES'!J36*100</f>
        <v>0.2097272862147492</v>
      </c>
      <c r="K27" s="16">
        <f>'Kst-ha-ES'!K34/'Kst-ha-ES'!K36*100</f>
        <v>0.14675805614236684</v>
      </c>
      <c r="L27" s="16">
        <f>'Kst-ha-ES'!L34/'Kst-ha-ES'!L36*100</f>
        <v>0.12999018719426914</v>
      </c>
      <c r="M27" s="16">
        <f>'Kst-ha-ES'!M34/'Kst-ha-ES'!M36*100</f>
        <v>0.20086112988334023</v>
      </c>
      <c r="N27" s="16">
        <f>'Kst-ha-ES'!N34/'Kst-ha-ES'!N36*100</f>
        <v>5.3019351459252871E-2</v>
      </c>
      <c r="O27" s="16">
        <f t="shared" si="1"/>
        <v>0.11306956545277898</v>
      </c>
    </row>
    <row r="28" spans="1:15" s="13" customFormat="1" ht="13.5" customHeight="1" x14ac:dyDescent="0.2">
      <c r="B28" s="13" t="s">
        <v>75</v>
      </c>
      <c r="E28" s="16">
        <f>'Kst-ha-ES'!E35/'Kst-ha-ES'!E36*100</f>
        <v>10.55935757982876</v>
      </c>
      <c r="F28" s="16">
        <f>'Kst-ha-ES'!F35/'Kst-ha-ES'!F36*100</f>
        <v>11.831449795024355</v>
      </c>
      <c r="G28" s="16">
        <f>'Kst-ha-ES'!G35/'Kst-ha-ES'!G36*100</f>
        <v>9.1507818025477583</v>
      </c>
      <c r="H28" s="16">
        <f>'Kst-ha-ES'!H35/'Kst-ha-ES'!H36*100</f>
        <v>8.5417685581419498</v>
      </c>
      <c r="I28" s="16">
        <f>'Kst-ha-ES'!I35/'Kst-ha-ES'!I36*100</f>
        <v>10.398627493036168</v>
      </c>
      <c r="J28" s="16">
        <f>'Kst-ha-ES'!J35/'Kst-ha-ES'!J36*100</f>
        <v>7.6312495125884432</v>
      </c>
      <c r="K28" s="16">
        <f>'Kst-ha-ES'!K35/'Kst-ha-ES'!K36*100</f>
        <v>10.6913494442363</v>
      </c>
      <c r="L28" s="16">
        <f>'Kst-ha-ES'!L35/'Kst-ha-ES'!L36*100</f>
        <v>7.7092229382247179</v>
      </c>
      <c r="M28" s="16">
        <f>'Kst-ha-ES'!M35/'Kst-ha-ES'!M36*100</f>
        <v>8.2136089385045139</v>
      </c>
      <c r="N28" s="16">
        <f>'Kst-ha-ES'!N35/'Kst-ha-ES'!N36*100</f>
        <v>7.9001651977682403</v>
      </c>
      <c r="O28" s="16">
        <f t="shared" si="1"/>
        <v>9.2627581259901213</v>
      </c>
    </row>
    <row r="29" spans="1:15" s="13" customFormat="1" ht="12.75" customHeight="1" x14ac:dyDescent="0.2">
      <c r="E29" s="16"/>
      <c r="F29" s="16"/>
      <c r="G29" s="16"/>
      <c r="H29" s="16"/>
      <c r="I29" s="16"/>
      <c r="J29" s="16"/>
      <c r="K29" s="16"/>
      <c r="L29" s="16"/>
      <c r="M29" s="16"/>
      <c r="N29" s="16"/>
      <c r="O29" s="16"/>
    </row>
    <row r="30" spans="1:15" s="14" customFormat="1" x14ac:dyDescent="0.2">
      <c r="B30" s="14" t="s">
        <v>20</v>
      </c>
      <c r="E30" s="15">
        <v>100</v>
      </c>
      <c r="F30" s="15">
        <v>100</v>
      </c>
      <c r="G30" s="15">
        <v>100</v>
      </c>
      <c r="H30" s="15">
        <v>100</v>
      </c>
      <c r="I30" s="15">
        <v>100</v>
      </c>
      <c r="J30" s="15">
        <v>100</v>
      </c>
      <c r="K30" s="15">
        <v>100</v>
      </c>
      <c r="L30" s="15">
        <v>100</v>
      </c>
      <c r="M30" s="15">
        <v>100</v>
      </c>
      <c r="N30" s="15">
        <v>100</v>
      </c>
      <c r="O30" s="15">
        <v>100</v>
      </c>
    </row>
    <row r="31" spans="1:15" x14ac:dyDescent="0.2">
      <c r="A31" s="13"/>
    </row>
    <row r="32" spans="1:15" x14ac:dyDescent="0.2">
      <c r="A32" s="13"/>
    </row>
  </sheetData>
  <mergeCells count="3">
    <mergeCell ref="D1:M1"/>
    <mergeCell ref="D2:M2"/>
    <mergeCell ref="D3:M3"/>
  </mergeCells>
  <phoneticPr fontId="0" type="noConversion"/>
  <pageMargins left="0.78740157480314965" right="0.78740157480314965" top="0.78740157480314965" bottom="0.78740157480314965" header="0.43307086614173229" footer="0.43307086614173229"/>
  <pageSetup paperSize="9" orientation="landscape" horizontalDpi="0" r:id="rId1"/>
  <headerFooter alignWithMargins="0">
    <oddFooter>&amp;L&amp;8BOKU / HVLFÖ&amp;C&amp;8DVR-Nr: 0890723&amp;R&amp;8&amp;D</oddFooter>
  </headerFooter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500-000000000000}">
  <dimension ref="A1:O31"/>
  <sheetViews>
    <sheetView workbookViewId="0">
      <selection activeCell="D2" sqref="D2:M2"/>
    </sheetView>
  </sheetViews>
  <sheetFormatPr baseColWidth="10" defaultRowHeight="12.75" x14ac:dyDescent="0.2"/>
  <cols>
    <col min="1" max="1" width="0.85546875" customWidth="1"/>
    <col min="2" max="2" width="10.28515625" customWidth="1"/>
    <col min="3" max="3" width="8.7109375" customWidth="1"/>
    <col min="4" max="4" width="9.5703125" customWidth="1"/>
    <col min="5" max="5" width="8.7109375" customWidth="1"/>
    <col min="6" max="7" width="8.5703125" customWidth="1"/>
    <col min="8" max="9" width="8.7109375" customWidth="1"/>
    <col min="10" max="10" width="8.5703125" customWidth="1"/>
    <col min="11" max="14" width="8.7109375" customWidth="1"/>
    <col min="15" max="15" width="10.7109375" customWidth="1"/>
  </cols>
  <sheetData>
    <row r="1" spans="1:15" ht="13.7" customHeight="1" x14ac:dyDescent="0.25">
      <c r="A1" t="s">
        <v>48</v>
      </c>
      <c r="C1" s="12">
        <f>Input!A3</f>
        <v>2024</v>
      </c>
      <c r="D1" s="36" t="s">
        <v>17</v>
      </c>
      <c r="E1" s="36"/>
      <c r="F1" s="36"/>
      <c r="G1" s="36"/>
      <c r="H1" s="36"/>
      <c r="I1" s="36"/>
      <c r="J1" s="36"/>
      <c r="K1" s="36"/>
      <c r="L1" s="36"/>
      <c r="M1" s="36"/>
      <c r="O1" s="3" t="s">
        <v>246</v>
      </c>
    </row>
    <row r="2" spans="1:15" ht="13.7" customHeight="1" x14ac:dyDescent="0.2">
      <c r="D2" s="37" t="str">
        <f>Kenndat!D2</f>
        <v>Produktionsgebiet 1: Alpenvorland</v>
      </c>
      <c r="E2" s="37"/>
      <c r="F2" s="37"/>
      <c r="G2" s="37"/>
      <c r="H2" s="37"/>
      <c r="I2" s="37"/>
      <c r="J2" s="37"/>
      <c r="K2" s="37"/>
      <c r="L2" s="37"/>
      <c r="M2" s="37"/>
      <c r="N2" s="5"/>
    </row>
    <row r="3" spans="1:15" ht="13.7" customHeight="1" x14ac:dyDescent="0.2">
      <c r="D3" s="38" t="s">
        <v>21</v>
      </c>
      <c r="E3" s="38"/>
      <c r="F3" s="38"/>
      <c r="G3" s="38"/>
      <c r="H3" s="38"/>
      <c r="I3" s="38"/>
      <c r="J3" s="38"/>
      <c r="K3" s="38"/>
      <c r="L3" s="38"/>
      <c r="M3" s="38"/>
      <c r="N3" s="2"/>
    </row>
    <row r="4" spans="1:15" ht="28.5" customHeight="1" x14ac:dyDescent="0.2"/>
    <row r="5" spans="1:15" x14ac:dyDescent="0.2">
      <c r="E5" s="3">
        <f>Input!A3</f>
        <v>2024</v>
      </c>
      <c r="F5" s="3">
        <f>+E5-1</f>
        <v>2023</v>
      </c>
      <c r="G5" s="3">
        <f t="shared" ref="G5:N5" si="0">+F5-1</f>
        <v>2022</v>
      </c>
      <c r="H5" s="3">
        <f t="shared" si="0"/>
        <v>2021</v>
      </c>
      <c r="I5" s="3">
        <f t="shared" si="0"/>
        <v>2020</v>
      </c>
      <c r="J5" s="3">
        <f t="shared" si="0"/>
        <v>2019</v>
      </c>
      <c r="K5" s="3">
        <f t="shared" si="0"/>
        <v>2018</v>
      </c>
      <c r="L5" s="3">
        <f t="shared" si="0"/>
        <v>2017</v>
      </c>
      <c r="M5" s="3">
        <f t="shared" si="0"/>
        <v>2016</v>
      </c>
      <c r="N5" s="3">
        <f t="shared" si="0"/>
        <v>2015</v>
      </c>
      <c r="O5" s="3" t="s">
        <v>16</v>
      </c>
    </row>
    <row r="6" spans="1:15" x14ac:dyDescent="0.2">
      <c r="E6" s="12"/>
      <c r="F6" s="3"/>
      <c r="G6" s="3"/>
      <c r="H6" s="3"/>
      <c r="I6" s="3"/>
      <c r="J6" s="3"/>
      <c r="K6" s="3"/>
      <c r="L6" s="3"/>
      <c r="M6" s="3"/>
      <c r="N6" s="3"/>
      <c r="O6" s="3"/>
    </row>
    <row r="7" spans="1:15" x14ac:dyDescent="0.2">
      <c r="B7" t="s">
        <v>72</v>
      </c>
      <c r="E7" s="12"/>
      <c r="F7" s="3"/>
      <c r="G7" s="3"/>
      <c r="H7" s="3"/>
      <c r="I7" s="3"/>
      <c r="J7" s="3"/>
      <c r="K7" s="3"/>
      <c r="L7" s="3"/>
      <c r="M7" s="3"/>
      <c r="N7" s="3"/>
      <c r="O7" s="3"/>
    </row>
    <row r="8" spans="1:15" ht="5.25" customHeight="1" x14ac:dyDescent="0.2"/>
    <row r="9" spans="1:15" ht="13.5" customHeight="1" x14ac:dyDescent="0.2">
      <c r="A9" s="13"/>
      <c r="B9" s="13" t="s">
        <v>55</v>
      </c>
      <c r="C9" s="13"/>
      <c r="D9" s="13"/>
      <c r="E9" s="16">
        <f>'Kst-ha-HS'!E13/'Kst-ha-HS'!E31*100</f>
        <v>20.166460614956719</v>
      </c>
      <c r="F9" s="16">
        <f>'Kst-ha-HS'!F13/'Kst-ha-HS'!F31*100</f>
        <v>16.674363334678588</v>
      </c>
      <c r="G9" s="16">
        <f>'Kst-ha-HS'!G13/'Kst-ha-HS'!G31*100</f>
        <v>18.415748750501709</v>
      </c>
      <c r="H9" s="16">
        <f>'Kst-ha-HS'!H13/'Kst-ha-HS'!H31*100</f>
        <v>20.049409833122699</v>
      </c>
      <c r="I9" s="16">
        <f>'Kst-ha-HS'!I13/'Kst-ha-HS'!I31*100</f>
        <v>19.828425091604529</v>
      </c>
      <c r="J9" s="16">
        <f>'Kst-ha-HS'!J13/'Kst-ha-HS'!J31*100</f>
        <v>19.135258519406641</v>
      </c>
      <c r="K9" s="16">
        <f>'Kst-ha-HS'!K13/'Kst-ha-HS'!K31*100</f>
        <v>19.776119105238877</v>
      </c>
      <c r="L9" s="16">
        <f>'Kst-ha-HS'!L13/'Kst-ha-HS'!L31*100</f>
        <v>16.778188208845943</v>
      </c>
      <c r="M9" s="16">
        <f>'Kst-ha-HS'!M13/'Kst-ha-HS'!M31*100</f>
        <v>25.084643655113375</v>
      </c>
      <c r="N9" s="16">
        <f>'Kst-ha-HS'!N13/'Kst-ha-HS'!N31*100</f>
        <v>16.334444695217623</v>
      </c>
      <c r="O9" s="16">
        <f t="shared" ref="O9:O28" si="1">AVERAGE(E9:N9)</f>
        <v>19.22430618086867</v>
      </c>
    </row>
    <row r="10" spans="1:15" ht="13.5" customHeight="1" x14ac:dyDescent="0.2">
      <c r="A10" s="13"/>
      <c r="B10" s="13" t="s">
        <v>60</v>
      </c>
      <c r="C10" s="13"/>
      <c r="D10" s="13"/>
      <c r="E10" s="16">
        <f>'Kst-ha-HS'!E19/'Kst-ha-HS'!E31*100</f>
        <v>50.37273664928852</v>
      </c>
      <c r="F10" s="16">
        <f>'Kst-ha-HS'!F19/'Kst-ha-HS'!F31*100</f>
        <v>47.432179940921678</v>
      </c>
      <c r="G10" s="16">
        <f>'Kst-ha-HS'!G19/'Kst-ha-HS'!G31*100</f>
        <v>43.750188050442603</v>
      </c>
      <c r="H10" s="16">
        <f>'Kst-ha-HS'!H19/'Kst-ha-HS'!H31*100</f>
        <v>44.050243710907658</v>
      </c>
      <c r="I10" s="16">
        <f>'Kst-ha-HS'!I19/'Kst-ha-HS'!I31*100</f>
        <v>45.950492884138342</v>
      </c>
      <c r="J10" s="16">
        <f>'Kst-ha-HS'!J19/'Kst-ha-HS'!J31*100</f>
        <v>47.279312313041387</v>
      </c>
      <c r="K10" s="16">
        <f>'Kst-ha-HS'!K19/'Kst-ha-HS'!K31*100</f>
        <v>45.176686645503672</v>
      </c>
      <c r="L10" s="16">
        <f>'Kst-ha-HS'!L19/'Kst-ha-HS'!L31*100</f>
        <v>47.035625395527376</v>
      </c>
      <c r="M10" s="16">
        <f>'Kst-ha-HS'!M19/'Kst-ha-HS'!M31*100</f>
        <v>41.269202578541929</v>
      </c>
      <c r="N10" s="16">
        <f>'Kst-ha-HS'!N19/'Kst-ha-HS'!N31*100</f>
        <v>40.27639010509624</v>
      </c>
      <c r="O10" s="16">
        <f t="shared" si="1"/>
        <v>45.259305827340945</v>
      </c>
    </row>
    <row r="11" spans="1:15" ht="13.5" customHeight="1" x14ac:dyDescent="0.2">
      <c r="A11" s="13"/>
      <c r="B11" s="13" t="s">
        <v>63</v>
      </c>
      <c r="C11" s="13"/>
      <c r="D11" s="13"/>
      <c r="E11" s="16">
        <f>'Kst-ha-HS'!E24/'Kst-ha-HS'!E31*100</f>
        <v>9.3865330629041974</v>
      </c>
      <c r="F11" s="16">
        <f>'Kst-ha-HS'!F24/'Kst-ha-HS'!F31*100</f>
        <v>11.117010839782388</v>
      </c>
      <c r="G11" s="16">
        <f>'Kst-ha-HS'!G24/'Kst-ha-HS'!G31*100</f>
        <v>10.255571114688742</v>
      </c>
      <c r="H11" s="16">
        <f>'Kst-ha-HS'!H24/'Kst-ha-HS'!H31*100</f>
        <v>8.9485099957321061</v>
      </c>
      <c r="I11" s="16">
        <f>'Kst-ha-HS'!I24/'Kst-ha-HS'!I31*100</f>
        <v>9.0809662151814656</v>
      </c>
      <c r="J11" s="16">
        <f>'Kst-ha-HS'!J24/'Kst-ha-HS'!J31*100</f>
        <v>7.8979943328685636</v>
      </c>
      <c r="K11" s="16">
        <f>'Kst-ha-HS'!K24/'Kst-ha-HS'!K31*100</f>
        <v>8.9988902337555761</v>
      </c>
      <c r="L11" s="16">
        <f>'Kst-ha-HS'!L24/'Kst-ha-HS'!L31*100</f>
        <v>10.664154592081069</v>
      </c>
      <c r="M11" s="16">
        <f>'Kst-ha-HS'!M24/'Kst-ha-HS'!M31*100</f>
        <v>8.9653995236454627</v>
      </c>
      <c r="N11" s="16">
        <f>'Kst-ha-HS'!N24/'Kst-ha-HS'!N31*100</f>
        <v>19.119694803629965</v>
      </c>
      <c r="O11" s="16">
        <f t="shared" si="1"/>
        <v>10.443472471426954</v>
      </c>
    </row>
    <row r="12" spans="1:15" ht="13.5" customHeight="1" x14ac:dyDescent="0.2">
      <c r="A12" s="13"/>
      <c r="B12" s="13" t="s">
        <v>15</v>
      </c>
      <c r="C12" s="13"/>
      <c r="D12" s="13"/>
      <c r="E12" s="16">
        <f>'Kst-ha-HS'!E29/'Kst-ha-HS'!E31*100</f>
        <v>20.074269672850562</v>
      </c>
      <c r="F12" s="16">
        <f>'Kst-ha-HS'!F29/'Kst-ha-HS'!F31*100</f>
        <v>24.776445884617353</v>
      </c>
      <c r="G12" s="16">
        <f>'Kst-ha-HS'!G29/'Kst-ha-HS'!G31*100</f>
        <v>27.57849208436695</v>
      </c>
      <c r="H12" s="16">
        <f>'Kst-ha-HS'!H29/'Kst-ha-HS'!H31*100</f>
        <v>26.951836460237548</v>
      </c>
      <c r="I12" s="16">
        <f>'Kst-ha-HS'!I29/'Kst-ha-HS'!I31*100</f>
        <v>25.140115809075645</v>
      </c>
      <c r="J12" s="16">
        <f>'Kst-ha-HS'!J29/'Kst-ha-HS'!J31*100</f>
        <v>25.687434834683408</v>
      </c>
      <c r="K12" s="16">
        <f>'Kst-ha-HS'!K29/'Kst-ha-HS'!K31*100</f>
        <v>26.048304015501873</v>
      </c>
      <c r="L12" s="16">
        <f>'Kst-ha-HS'!L29/'Kst-ha-HS'!L31*100</f>
        <v>25.52203180354562</v>
      </c>
      <c r="M12" s="16">
        <f>'Kst-ha-HS'!M29/'Kst-ha-HS'!M31*100</f>
        <v>24.680754242699226</v>
      </c>
      <c r="N12" s="16">
        <f>'Kst-ha-HS'!N29/'Kst-ha-HS'!N31*100</f>
        <v>24.269470396056168</v>
      </c>
      <c r="O12" s="16">
        <f t="shared" si="1"/>
        <v>25.072915520363438</v>
      </c>
    </row>
    <row r="13" spans="1:15" x14ac:dyDescent="0.2">
      <c r="A13" s="13"/>
      <c r="B13" s="13"/>
      <c r="C13" s="13"/>
      <c r="D13" s="13"/>
      <c r="E13" s="16"/>
      <c r="F13" s="16"/>
      <c r="G13" s="16"/>
      <c r="H13" s="16"/>
      <c r="I13" s="16"/>
      <c r="J13" s="16"/>
      <c r="K13" s="16"/>
      <c r="L13" s="16"/>
      <c r="M13" s="16"/>
      <c r="N13" s="16"/>
      <c r="O13" s="16"/>
    </row>
    <row r="14" spans="1:15" x14ac:dyDescent="0.2">
      <c r="A14" s="13"/>
      <c r="B14" s="13" t="s">
        <v>119</v>
      </c>
      <c r="C14" s="13"/>
      <c r="D14" s="13"/>
      <c r="E14" s="16"/>
      <c r="F14" s="16"/>
      <c r="G14" s="16"/>
      <c r="H14" s="16"/>
      <c r="I14" s="16"/>
      <c r="J14" s="16"/>
      <c r="K14" s="16"/>
      <c r="L14" s="16"/>
      <c r="M14" s="16"/>
      <c r="N14" s="16"/>
      <c r="O14" s="16"/>
    </row>
    <row r="15" spans="1:15" ht="6" customHeight="1" x14ac:dyDescent="0.2">
      <c r="A15" s="13"/>
      <c r="B15" s="13"/>
      <c r="C15" s="13"/>
      <c r="D15" s="13"/>
      <c r="E15" s="16"/>
      <c r="F15" s="16"/>
      <c r="G15" s="16"/>
      <c r="H15" s="16"/>
      <c r="I15" s="16"/>
      <c r="J15" s="16"/>
      <c r="K15" s="16"/>
      <c r="L15" s="16"/>
      <c r="M15" s="16"/>
      <c r="N15" s="16"/>
      <c r="O15" s="16"/>
    </row>
    <row r="16" spans="1:15" ht="13.5" customHeight="1" x14ac:dyDescent="0.2">
      <c r="A16" s="13"/>
      <c r="B16" s="13" t="s">
        <v>123</v>
      </c>
      <c r="C16" s="13"/>
      <c r="D16" s="13"/>
      <c r="E16" s="16">
        <f>'KOA-ha-HS'!E10/'KOA-ha-HS'!E40*100</f>
        <v>14.874801957688765</v>
      </c>
      <c r="F16" s="16">
        <f>'KOA-ha-HS'!F10/'KOA-ha-HS'!F40*100</f>
        <v>14.764499597115357</v>
      </c>
      <c r="G16" s="16">
        <f>'KOA-ha-HS'!G10/'KOA-ha-HS'!G40*100</f>
        <v>14.606209955504621</v>
      </c>
      <c r="H16" s="16">
        <f>'KOA-ha-HS'!H10/'KOA-ha-HS'!H40*100</f>
        <v>15.059253855288485</v>
      </c>
      <c r="I16" s="16">
        <f>'KOA-ha-HS'!I10/'KOA-ha-HS'!I40*100</f>
        <v>17.91397424479144</v>
      </c>
      <c r="J16" s="16">
        <f>'KOA-ha-HS'!J10/'KOA-ha-HS'!J40*100</f>
        <v>18.424545349143891</v>
      </c>
      <c r="K16" s="16">
        <f>'KOA-ha-HS'!K10/'KOA-ha-HS'!K40*100</f>
        <v>16.802249413275575</v>
      </c>
      <c r="L16" s="16">
        <f>'KOA-ha-HS'!L10/'KOA-ha-HS'!L40*100</f>
        <v>17.552383967548728</v>
      </c>
      <c r="M16" s="16">
        <f>'KOA-ha-HS'!M10/'KOA-ha-HS'!M40*100</f>
        <v>19.828394210926493</v>
      </c>
      <c r="N16" s="16">
        <f>'KOA-ha-HS'!N10/'KOA-ha-HS'!N40*100</f>
        <v>19.174442167675053</v>
      </c>
      <c r="O16" s="16">
        <f t="shared" si="1"/>
        <v>16.900075471895843</v>
      </c>
    </row>
    <row r="17" spans="1:15" ht="13.5" customHeight="1" x14ac:dyDescent="0.2">
      <c r="A17" s="13"/>
      <c r="B17" s="13" t="s">
        <v>130</v>
      </c>
      <c r="C17" s="13"/>
      <c r="D17" s="13"/>
      <c r="E17" s="16">
        <f>'KOA-ha-HS'!E15/'KOA-ha-HS'!E40*100</f>
        <v>11.141400939096242</v>
      </c>
      <c r="F17" s="16">
        <f>'KOA-ha-HS'!F15/'KOA-ha-HS'!F40*100</f>
        <v>11.779367895528486</v>
      </c>
      <c r="G17" s="16">
        <f>'KOA-ha-HS'!G15/'KOA-ha-HS'!G40*100</f>
        <v>12.855935671261348</v>
      </c>
      <c r="H17" s="16">
        <f>'KOA-ha-HS'!H15/'KOA-ha-HS'!H40*100</f>
        <v>14.24666516726078</v>
      </c>
      <c r="I17" s="16">
        <f>'KOA-ha-HS'!I15/'KOA-ha-HS'!I40*100</f>
        <v>13.42119763299657</v>
      </c>
      <c r="J17" s="16">
        <f>'KOA-ha-HS'!J15/'KOA-ha-HS'!J40*100</f>
        <v>13.955546472128161</v>
      </c>
      <c r="K17" s="16">
        <f>'KOA-ha-HS'!K15/'KOA-ha-HS'!K40*100</f>
        <v>13.843935521097443</v>
      </c>
      <c r="L17" s="16">
        <f>'KOA-ha-HS'!L15/'KOA-ha-HS'!L40*100</f>
        <v>14.094270067543968</v>
      </c>
      <c r="M17" s="16">
        <f>'KOA-ha-HS'!M15/'KOA-ha-HS'!M40*100</f>
        <v>12.010929378845082</v>
      </c>
      <c r="N17" s="16">
        <f>'KOA-ha-HS'!N15/'KOA-ha-HS'!N40*100</f>
        <v>12.783243674138312</v>
      </c>
      <c r="O17" s="16">
        <f t="shared" si="1"/>
        <v>13.013249241989641</v>
      </c>
    </row>
    <row r="18" spans="1:15" ht="13.5" customHeight="1" x14ac:dyDescent="0.2">
      <c r="A18" s="13"/>
      <c r="B18" s="13" t="s">
        <v>129</v>
      </c>
      <c r="C18" s="13"/>
      <c r="D18" s="13"/>
      <c r="E18" s="16">
        <f>'KOA-ha-HS'!E19/'KOA-ha-HS'!E40*100</f>
        <v>7.5972540452771948</v>
      </c>
      <c r="F18" s="16">
        <f>'KOA-ha-HS'!F19/'KOA-ha-HS'!F40*100</f>
        <v>7.269837896217858</v>
      </c>
      <c r="G18" s="16">
        <f>'KOA-ha-HS'!G19/'KOA-ha-HS'!G40*100</f>
        <v>7.7524321322009868</v>
      </c>
      <c r="H18" s="16">
        <f>'KOA-ha-HS'!H19/'KOA-ha-HS'!H40*100</f>
        <v>6.7282107499622921</v>
      </c>
      <c r="I18" s="16">
        <f>'KOA-ha-HS'!I19/'KOA-ha-HS'!I40*100</f>
        <v>7.9402153545318352</v>
      </c>
      <c r="J18" s="16">
        <f>'KOA-ha-HS'!J19/'KOA-ha-HS'!J40*100</f>
        <v>6.9914694091882099</v>
      </c>
      <c r="K18" s="16">
        <f>'KOA-ha-HS'!K19/'KOA-ha-HS'!K40*100</f>
        <v>6.5261801132790396</v>
      </c>
      <c r="L18" s="16">
        <f>'KOA-ha-HS'!L19/'KOA-ha-HS'!L40*100</f>
        <v>6.4727381080003976</v>
      </c>
      <c r="M18" s="16">
        <f>'KOA-ha-HS'!M19/'KOA-ha-HS'!M40*100</f>
        <v>6.1480612441240385</v>
      </c>
      <c r="N18" s="16">
        <f>'KOA-ha-HS'!N19/'KOA-ha-HS'!N40*100</f>
        <v>9.5440870817018997</v>
      </c>
      <c r="O18" s="16">
        <f t="shared" si="1"/>
        <v>7.2970486134483767</v>
      </c>
    </row>
    <row r="19" spans="1:15" ht="13.5" customHeight="1" x14ac:dyDescent="0.2">
      <c r="A19" s="13"/>
      <c r="B19" s="13" t="s">
        <v>136</v>
      </c>
      <c r="C19" s="13"/>
      <c r="D19" s="13"/>
      <c r="E19" s="16">
        <f>'KOA-ha-HS'!E26/'KOA-ha-HS'!E40*100</f>
        <v>56.204626293136471</v>
      </c>
      <c r="F19" s="16">
        <f>'KOA-ha-HS'!F26/'KOA-ha-HS'!F40*100</f>
        <v>56.075555822144139</v>
      </c>
      <c r="G19" s="16">
        <f>'KOA-ha-HS'!G26/'KOA-ha-HS'!G40*100</f>
        <v>54.378573552071963</v>
      </c>
      <c r="H19" s="16">
        <f>'KOA-ha-HS'!H26/'KOA-ha-HS'!H40*100</f>
        <v>54.948848097696214</v>
      </c>
      <c r="I19" s="16">
        <f>'KOA-ha-HS'!I26/'KOA-ha-HS'!I40*100</f>
        <v>51.724589853343907</v>
      </c>
      <c r="J19" s="16">
        <f>'KOA-ha-HS'!J26/'KOA-ha-HS'!J40*100</f>
        <v>50.574241155240344</v>
      </c>
      <c r="K19" s="16">
        <f>'KOA-ha-HS'!K26/'KOA-ha-HS'!K40*100</f>
        <v>53.051844573680597</v>
      </c>
      <c r="L19" s="16">
        <f>'KOA-ha-HS'!L26/'KOA-ha-HS'!L40*100</f>
        <v>52.119889430150089</v>
      </c>
      <c r="M19" s="16">
        <f>'KOA-ha-HS'!M26/'KOA-ha-HS'!M40*100</f>
        <v>53.303138293948138</v>
      </c>
      <c r="N19" s="16">
        <f>'KOA-ha-HS'!N26/'KOA-ha-HS'!N40*100</f>
        <v>48.645446178626564</v>
      </c>
      <c r="O19" s="16">
        <f t="shared" si="1"/>
        <v>53.102675325003837</v>
      </c>
    </row>
    <row r="20" spans="1:15" ht="13.5" customHeight="1" x14ac:dyDescent="0.2">
      <c r="A20" s="13"/>
      <c r="B20" s="13" t="s">
        <v>139</v>
      </c>
      <c r="C20" s="13"/>
      <c r="D20" s="13"/>
      <c r="E20" s="16">
        <f>'KOA-ha-HS'!E30/'KOA-ha-HS'!E40*100</f>
        <v>3.1952554561428856</v>
      </c>
      <c r="F20" s="16">
        <f>'KOA-ha-HS'!F30/'KOA-ha-HS'!F40*100</f>
        <v>3.3901761344424499</v>
      </c>
      <c r="G20" s="16">
        <f>'KOA-ha-HS'!G30/'KOA-ha-HS'!G40*100</f>
        <v>3.9129078382325426</v>
      </c>
      <c r="H20" s="16">
        <f>'KOA-ha-HS'!H30/'KOA-ha-HS'!H40*100</f>
        <v>3.0555032544841234</v>
      </c>
      <c r="I20" s="16">
        <f>'KOA-ha-HS'!I30/'KOA-ha-HS'!I40*100</f>
        <v>3.0863209326949543</v>
      </c>
      <c r="J20" s="16">
        <f>'KOA-ha-HS'!J30/'KOA-ha-HS'!J40*100</f>
        <v>3.1919323249137364</v>
      </c>
      <c r="K20" s="16">
        <f>'KOA-ha-HS'!K30/'KOA-ha-HS'!K40*100</f>
        <v>3.2737440701221239</v>
      </c>
      <c r="L20" s="16">
        <f>'KOA-ha-HS'!L30/'KOA-ha-HS'!L40*100</f>
        <v>3.0818115280055354</v>
      </c>
      <c r="M20" s="16">
        <f>'KOA-ha-HS'!M30/'KOA-ha-HS'!M40*100</f>
        <v>3.1413481809645436</v>
      </c>
      <c r="N20" s="16">
        <f>'KOA-ha-HS'!N30/'KOA-ha-HS'!N40*100</f>
        <v>3.5793617268377118</v>
      </c>
      <c r="O20" s="16">
        <f t="shared" si="1"/>
        <v>3.2908361446840599</v>
      </c>
    </row>
    <row r="21" spans="1:15" ht="13.5" customHeight="1" x14ac:dyDescent="0.2">
      <c r="A21" s="13"/>
      <c r="B21" s="13" t="s">
        <v>144</v>
      </c>
      <c r="C21" s="13"/>
      <c r="D21" s="13"/>
      <c r="E21" s="16">
        <f>'KOA-ha-HS'!E36/'KOA-ha-HS'!E40*100</f>
        <v>2.785850179782043</v>
      </c>
      <c r="F21" s="16">
        <f>'KOA-ha-HS'!F36/'KOA-ha-HS'!F40*100</f>
        <v>2.5057405771291941</v>
      </c>
      <c r="G21" s="16">
        <f>'KOA-ha-HS'!G36/'KOA-ha-HS'!G40*100</f>
        <v>2.7037432741991285</v>
      </c>
      <c r="H21" s="16">
        <f>'KOA-ha-HS'!H36/'KOA-ha-HS'!H40*100</f>
        <v>2.5322427222891148</v>
      </c>
      <c r="I21" s="16">
        <f>'KOA-ha-HS'!I36/'KOA-ha-HS'!I40*100</f>
        <v>2.7466861973226373</v>
      </c>
      <c r="J21" s="16">
        <f>'KOA-ha-HS'!J36/'KOA-ha-HS'!J40*100</f>
        <v>2.7732199754809739</v>
      </c>
      <c r="K21" s="16">
        <f>'KOA-ha-HS'!K36/'KOA-ha-HS'!K40*100</f>
        <v>2.5426785052233551</v>
      </c>
      <c r="L21" s="16">
        <f>'KOA-ha-HS'!L36/'KOA-ha-HS'!L40*100</f>
        <v>2.6512856258635091</v>
      </c>
      <c r="M21" s="16">
        <f>'KOA-ha-HS'!M36/'KOA-ha-HS'!M40*100</f>
        <v>2.4712398661897534</v>
      </c>
      <c r="N21" s="16">
        <f>'KOA-ha-HS'!N36/'KOA-ha-HS'!N40*100</f>
        <v>2.6830090739519936</v>
      </c>
      <c r="O21" s="16">
        <f t="shared" si="1"/>
        <v>2.6395695997431701</v>
      </c>
    </row>
    <row r="22" spans="1:15" ht="13.5" customHeight="1" x14ac:dyDescent="0.2">
      <c r="A22" s="13"/>
      <c r="B22" s="13" t="s">
        <v>145</v>
      </c>
      <c r="C22" s="13"/>
      <c r="D22" s="13"/>
      <c r="E22" s="16">
        <f>'KOA-ha-HS'!E38/'KOA-ha-HS'!E40*100</f>
        <v>4.200811128876409</v>
      </c>
      <c r="F22" s="16">
        <f>'KOA-ha-HS'!F38/'KOA-ha-HS'!F40*100</f>
        <v>4.2148220774225145</v>
      </c>
      <c r="G22" s="16">
        <f>'KOA-ha-HS'!G38/'KOA-ha-HS'!G40*100</f>
        <v>3.7901975765294069</v>
      </c>
      <c r="H22" s="16">
        <f>'KOA-ha-HS'!H38/'KOA-ha-HS'!H40*100</f>
        <v>3.4292761530190043</v>
      </c>
      <c r="I22" s="16">
        <f>'KOA-ha-HS'!I38/'KOA-ha-HS'!I40*100</f>
        <v>3.1670157843186635</v>
      </c>
      <c r="J22" s="16">
        <f>'KOA-ha-HS'!J38/'KOA-ha-HS'!J40*100</f>
        <v>4.0890453139046707</v>
      </c>
      <c r="K22" s="16">
        <f>'KOA-ha-HS'!K38/'KOA-ha-HS'!K40*100</f>
        <v>3.9593678033218671</v>
      </c>
      <c r="L22" s="16">
        <f>'KOA-ha-HS'!L38/'KOA-ha-HS'!L40*100</f>
        <v>4.0276212728877727</v>
      </c>
      <c r="M22" s="16">
        <f>'KOA-ha-HS'!M38/'KOA-ha-HS'!M40*100</f>
        <v>3.0968888250019324</v>
      </c>
      <c r="N22" s="16">
        <f>'KOA-ha-HS'!N38/'KOA-ha-HS'!N40*100</f>
        <v>3.5904100970684838</v>
      </c>
      <c r="O22" s="16">
        <f t="shared" si="1"/>
        <v>3.756545603235073</v>
      </c>
    </row>
    <row r="23" spans="1:15" x14ac:dyDescent="0.2">
      <c r="A23" s="13"/>
      <c r="B23" s="13"/>
      <c r="C23" s="13"/>
      <c r="D23" s="13"/>
      <c r="E23" s="13"/>
      <c r="F23" s="13"/>
      <c r="G23" s="13"/>
      <c r="H23" s="13"/>
      <c r="I23" s="13"/>
      <c r="J23" s="13"/>
      <c r="K23" s="13"/>
      <c r="L23" s="13"/>
      <c r="M23" s="13"/>
      <c r="N23" s="13"/>
      <c r="O23" s="16"/>
    </row>
    <row r="24" spans="1:15" x14ac:dyDescent="0.2">
      <c r="A24" s="14"/>
      <c r="B24" s="14" t="s">
        <v>19</v>
      </c>
      <c r="C24" s="14"/>
      <c r="D24" s="14"/>
      <c r="E24" s="15">
        <v>100</v>
      </c>
      <c r="F24" s="15">
        <v>100</v>
      </c>
      <c r="G24" s="15">
        <v>100</v>
      </c>
      <c r="H24" s="15">
        <v>100</v>
      </c>
      <c r="I24" s="15">
        <v>100</v>
      </c>
      <c r="J24" s="15">
        <v>100</v>
      </c>
      <c r="K24" s="15">
        <v>100</v>
      </c>
      <c r="L24" s="15">
        <v>100</v>
      </c>
      <c r="M24" s="15">
        <v>100</v>
      </c>
      <c r="N24" s="15">
        <v>100</v>
      </c>
      <c r="O24" s="15">
        <v>100</v>
      </c>
    </row>
    <row r="25" spans="1:15" ht="23.25" customHeight="1" x14ac:dyDescent="0.2">
      <c r="A25" s="13"/>
      <c r="B25" s="13"/>
      <c r="C25" s="13"/>
      <c r="D25" s="13"/>
      <c r="E25" s="13"/>
      <c r="F25" s="13"/>
      <c r="G25" s="13"/>
      <c r="H25" s="13"/>
      <c r="I25" s="13"/>
      <c r="J25" s="13"/>
      <c r="K25" s="13"/>
      <c r="L25" s="13"/>
      <c r="M25" s="13"/>
      <c r="N25" s="13"/>
      <c r="O25" s="16"/>
    </row>
    <row r="26" spans="1:15" ht="13.5" customHeight="1" x14ac:dyDescent="0.2">
      <c r="A26" s="13"/>
      <c r="B26" s="13" t="s">
        <v>68</v>
      </c>
      <c r="C26" s="13"/>
      <c r="D26" s="13"/>
      <c r="E26" s="16">
        <f>'Kst-ha-HS'!E33/'Kst-ha-HS'!E36*100</f>
        <v>89.70636860714815</v>
      </c>
      <c r="F26" s="16">
        <f>'Kst-ha-HS'!F33/'Kst-ha-HS'!F36*100</f>
        <v>88.623748863884359</v>
      </c>
      <c r="G26" s="16">
        <f>'Kst-ha-HS'!G33/'Kst-ha-HS'!G36*100</f>
        <v>90.068949112751611</v>
      </c>
      <c r="H26" s="16">
        <f>'Kst-ha-HS'!H33/'Kst-ha-HS'!H36*100</f>
        <v>90.652644314174978</v>
      </c>
      <c r="I26" s="16">
        <f>'Kst-ha-HS'!I33/'Kst-ha-HS'!I36*100</f>
        <v>89.686105263095456</v>
      </c>
      <c r="J26" s="16">
        <f>'Kst-ha-HS'!J33/'Kst-ha-HS'!J36*100</f>
        <v>91.751992920999726</v>
      </c>
      <c r="K26" s="16">
        <f>'Kst-ha-HS'!K33/'Kst-ha-HS'!K36*100</f>
        <v>88.814710988398815</v>
      </c>
      <c r="L26" s="16">
        <f>'Kst-ha-HS'!L33/'Kst-ha-HS'!L36*100</f>
        <v>92.210704783430998</v>
      </c>
      <c r="M26" s="16">
        <f>'Kst-ha-HS'!M33/'Kst-ha-HS'!M36*100</f>
        <v>91.652138047104359</v>
      </c>
      <c r="N26" s="16">
        <f>'Kst-ha-HS'!N33/'Kst-ha-HS'!N36*100</f>
        <v>90.595049650171504</v>
      </c>
      <c r="O26" s="16">
        <f t="shared" si="1"/>
        <v>90.376241255116</v>
      </c>
    </row>
    <row r="27" spans="1:15" ht="13.5" customHeight="1" x14ac:dyDescent="0.2">
      <c r="A27" s="13"/>
      <c r="B27" s="13" t="s">
        <v>69</v>
      </c>
      <c r="C27" s="13"/>
      <c r="D27" s="13"/>
      <c r="E27" s="16">
        <f>'Kst-ha-HS'!E34/'Kst-ha-HS'!E36*100</f>
        <v>1.827966020524676E-2</v>
      </c>
      <c r="F27" s="16">
        <f>'Kst-ha-HS'!F34/'Kst-ha-HS'!F36*100</f>
        <v>6.704177548084525E-2</v>
      </c>
      <c r="G27" s="16">
        <f>'Kst-ha-HS'!G34/'Kst-ha-HS'!G36*100</f>
        <v>3.3836201536448465E-2</v>
      </c>
      <c r="H27" s="16">
        <f>'Kst-ha-HS'!H34/'Kst-ha-HS'!H36*100</f>
        <v>0.19367001460567881</v>
      </c>
      <c r="I27" s="16">
        <f>'Kst-ha-HS'!I34/'Kst-ha-HS'!I36*100</f>
        <v>8.7924900764760061E-2</v>
      </c>
      <c r="J27" s="16">
        <f>'Kst-ha-HS'!J34/'Kst-ha-HS'!J36*100</f>
        <v>0.22061436804950121</v>
      </c>
      <c r="K27" s="16">
        <f>'Kst-ha-HS'!K34/'Kst-ha-HS'!K36*100</f>
        <v>0.15145921671987586</v>
      </c>
      <c r="L27" s="16">
        <f>'Kst-ha-HS'!L34/'Kst-ha-HS'!L36*100</f>
        <v>0.12916244616823236</v>
      </c>
      <c r="M27" s="16">
        <f>'Kst-ha-HS'!M34/'Kst-ha-HS'!M36*100</f>
        <v>0.19927113298176172</v>
      </c>
      <c r="N27" s="16">
        <f>'Kst-ha-HS'!N34/'Kst-ha-HS'!N36*100</f>
        <v>6.2697447163201386E-2</v>
      </c>
      <c r="O27" s="16">
        <f t="shared" si="1"/>
        <v>0.11639571636755519</v>
      </c>
    </row>
    <row r="28" spans="1:15" ht="13.5" customHeight="1" x14ac:dyDescent="0.2">
      <c r="A28" s="13"/>
      <c r="B28" s="13" t="s">
        <v>75</v>
      </c>
      <c r="C28" s="13"/>
      <c r="D28" s="13"/>
      <c r="E28" s="16">
        <f>'Kst-ha-HS'!E35/'Kst-ha-HS'!E36*100</f>
        <v>10.275351732646596</v>
      </c>
      <c r="F28" s="16">
        <f>'Kst-ha-HS'!F35/'Kst-ha-HS'!F36*100</f>
        <v>11.309209360634792</v>
      </c>
      <c r="G28" s="16">
        <f>'Kst-ha-HS'!G35/'Kst-ha-HS'!G36*100</f>
        <v>9.8972146857119476</v>
      </c>
      <c r="H28" s="16">
        <f>'Kst-ha-HS'!H35/'Kst-ha-HS'!H36*100</f>
        <v>9.1536856712193408</v>
      </c>
      <c r="I28" s="16">
        <f>'Kst-ha-HS'!I35/'Kst-ha-HS'!I36*100</f>
        <v>10.225969836139784</v>
      </c>
      <c r="J28" s="16">
        <f>'Kst-ha-HS'!J35/'Kst-ha-HS'!J36*100</f>
        <v>8.0273927109507692</v>
      </c>
      <c r="K28" s="16">
        <f>'Kst-ha-HS'!K35/'Kst-ha-HS'!K36*100</f>
        <v>11.033829794881303</v>
      </c>
      <c r="L28" s="16">
        <f>'Kst-ha-HS'!L35/'Kst-ha-HS'!L36*100</f>
        <v>7.6601327704007751</v>
      </c>
      <c r="M28" s="16">
        <f>'Kst-ha-HS'!M35/'Kst-ha-HS'!M36*100</f>
        <v>8.148590819913899</v>
      </c>
      <c r="N28" s="16">
        <f>'Kst-ha-HS'!N35/'Kst-ha-HS'!N36*100</f>
        <v>9.3422529026652956</v>
      </c>
      <c r="O28" s="16">
        <f t="shared" si="1"/>
        <v>9.5073630285164494</v>
      </c>
    </row>
    <row r="29" spans="1:15" x14ac:dyDescent="0.2">
      <c r="A29" s="13"/>
      <c r="B29" s="13"/>
      <c r="C29" s="13"/>
      <c r="D29" s="13"/>
      <c r="E29" s="16"/>
      <c r="F29" s="16"/>
      <c r="G29" s="16"/>
      <c r="H29" s="16"/>
      <c r="I29" s="16"/>
      <c r="J29" s="16"/>
      <c r="K29" s="16"/>
      <c r="L29" s="16"/>
      <c r="M29" s="16"/>
      <c r="N29" s="16"/>
      <c r="O29" s="16"/>
    </row>
    <row r="30" spans="1:15" x14ac:dyDescent="0.2">
      <c r="A30" s="14"/>
      <c r="B30" s="14" t="s">
        <v>20</v>
      </c>
      <c r="C30" s="14"/>
      <c r="D30" s="14"/>
      <c r="E30" s="15">
        <v>100</v>
      </c>
      <c r="F30" s="15">
        <v>100</v>
      </c>
      <c r="G30" s="15">
        <v>100</v>
      </c>
      <c r="H30" s="15">
        <v>100</v>
      </c>
      <c r="I30" s="15">
        <v>100</v>
      </c>
      <c r="J30" s="15">
        <v>100</v>
      </c>
      <c r="K30" s="15">
        <v>100</v>
      </c>
      <c r="L30" s="15">
        <v>100</v>
      </c>
      <c r="M30" s="15">
        <v>100</v>
      </c>
      <c r="N30" s="15">
        <v>100</v>
      </c>
      <c r="O30" s="15">
        <v>100</v>
      </c>
    </row>
    <row r="31" spans="1:15" x14ac:dyDescent="0.2">
      <c r="A31" s="13"/>
    </row>
  </sheetData>
  <mergeCells count="3">
    <mergeCell ref="D1:M1"/>
    <mergeCell ref="D2:M2"/>
    <mergeCell ref="D3:M3"/>
  </mergeCells>
  <phoneticPr fontId="0" type="noConversion"/>
  <pageMargins left="0.78740157480314965" right="0.78740157480314965" top="0.78740157480314965" bottom="0.78740157480314965" header="0.43307086614173229" footer="0.43307086614173229"/>
  <pageSetup paperSize="9" orientation="landscape" horizontalDpi="0" r:id="rId1"/>
  <headerFooter alignWithMargins="0">
    <oddFooter>&amp;L&amp;8BOKU / HVLFÖ&amp;C&amp;8DVR-Nr: 0890723&amp;R&amp;8&amp;D</oddFooter>
  </headerFooter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600-000000000000}">
  <dimension ref="A1:O42"/>
  <sheetViews>
    <sheetView workbookViewId="0">
      <selection activeCell="D2" sqref="D2:M2"/>
    </sheetView>
  </sheetViews>
  <sheetFormatPr baseColWidth="10" defaultRowHeight="12.75" x14ac:dyDescent="0.2"/>
  <cols>
    <col min="1" max="1" width="0.85546875" customWidth="1"/>
    <col min="2" max="2" width="10.28515625" customWidth="1"/>
    <col min="3" max="3" width="8.85546875" customWidth="1"/>
    <col min="4" max="4" width="9.7109375" customWidth="1"/>
    <col min="5" max="9" width="8.7109375" customWidth="1"/>
    <col min="10" max="10" width="8.85546875" customWidth="1"/>
    <col min="11" max="14" width="8.7109375" customWidth="1"/>
    <col min="15" max="15" width="10.7109375" customWidth="1"/>
  </cols>
  <sheetData>
    <row r="1" spans="1:15" ht="15.75" customHeight="1" x14ac:dyDescent="0.25">
      <c r="A1" t="s">
        <v>48</v>
      </c>
      <c r="C1" s="12">
        <f>Input!A3</f>
        <v>2024</v>
      </c>
      <c r="D1" s="36" t="s">
        <v>89</v>
      </c>
      <c r="E1" s="36"/>
      <c r="F1" s="36"/>
      <c r="G1" s="36"/>
      <c r="H1" s="36"/>
      <c r="I1" s="36"/>
      <c r="J1" s="36"/>
      <c r="K1" s="36"/>
      <c r="L1" s="36"/>
      <c r="M1" s="36"/>
      <c r="O1" s="3" t="s">
        <v>90</v>
      </c>
    </row>
    <row r="2" spans="1:15" ht="15.75" customHeight="1" x14ac:dyDescent="0.2">
      <c r="D2" s="37" t="str">
        <f>Kenndat!D2</f>
        <v>Produktionsgebiet 1: Alpenvorland</v>
      </c>
      <c r="E2" s="37"/>
      <c r="F2" s="37"/>
      <c r="G2" s="37"/>
      <c r="H2" s="37"/>
      <c r="I2" s="37"/>
      <c r="J2" s="37"/>
      <c r="K2" s="37"/>
      <c r="L2" s="37"/>
      <c r="M2" s="37"/>
    </row>
    <row r="3" spans="1:15" ht="15.75" customHeight="1" x14ac:dyDescent="0.2">
      <c r="D3" s="38"/>
      <c r="E3" s="38"/>
      <c r="F3" s="38"/>
      <c r="G3" s="38"/>
      <c r="H3" s="38"/>
      <c r="I3" s="38"/>
      <c r="J3" s="38"/>
      <c r="K3" s="38"/>
      <c r="L3" s="38"/>
      <c r="M3" s="38"/>
    </row>
    <row r="4" spans="1:15" ht="3.75" customHeight="1" x14ac:dyDescent="0.2"/>
    <row r="5" spans="1:15" x14ac:dyDescent="0.2">
      <c r="E5" s="3">
        <f>Input!A3</f>
        <v>2024</v>
      </c>
      <c r="F5" s="3">
        <f t="shared" ref="F5:N5" si="0">+E5-1</f>
        <v>2023</v>
      </c>
      <c r="G5" s="3">
        <f t="shared" si="0"/>
        <v>2022</v>
      </c>
      <c r="H5" s="3">
        <f t="shared" si="0"/>
        <v>2021</v>
      </c>
      <c r="I5" s="3">
        <f t="shared" si="0"/>
        <v>2020</v>
      </c>
      <c r="J5" s="3">
        <f t="shared" si="0"/>
        <v>2019</v>
      </c>
      <c r="K5" s="3">
        <f t="shared" si="0"/>
        <v>2018</v>
      </c>
      <c r="L5" s="3">
        <f t="shared" si="0"/>
        <v>2017</v>
      </c>
      <c r="M5" s="3">
        <f t="shared" si="0"/>
        <v>2016</v>
      </c>
      <c r="N5" s="3">
        <f t="shared" si="0"/>
        <v>2015</v>
      </c>
      <c r="O5" s="3" t="s">
        <v>16</v>
      </c>
    </row>
    <row r="6" spans="1:15" ht="12.75" customHeight="1" x14ac:dyDescent="0.2">
      <c r="A6" s="4" t="s">
        <v>91</v>
      </c>
      <c r="E6" s="3"/>
      <c r="F6" s="3"/>
      <c r="G6" s="3"/>
      <c r="H6" s="3"/>
      <c r="I6" s="3"/>
      <c r="J6" s="3"/>
      <c r="K6" s="3"/>
      <c r="L6" s="3"/>
      <c r="M6" s="3"/>
      <c r="N6" s="3"/>
      <c r="O6" s="3"/>
    </row>
    <row r="7" spans="1:15" ht="12" customHeight="1" x14ac:dyDescent="0.2">
      <c r="B7" t="s">
        <v>92</v>
      </c>
      <c r="E7" s="6">
        <f>Input!A56/Input!A$7</f>
        <v>20.154497584064689</v>
      </c>
      <c r="F7" s="6">
        <f>Input!B56/Input!B$7</f>
        <v>20.6108869708934</v>
      </c>
      <c r="G7" s="6">
        <f>Input!C56/Input!C$7</f>
        <v>16.781391975025251</v>
      </c>
      <c r="H7" s="6">
        <f>Input!D56/Input!D$7</f>
        <v>15.483386593204774</v>
      </c>
      <c r="I7" s="6">
        <f>Input!E56/Input!E$7</f>
        <v>14.35615243342516</v>
      </c>
      <c r="J7" s="6">
        <f>Input!F56/Input!F$7</f>
        <v>18.190765803397383</v>
      </c>
      <c r="K7" s="6">
        <f>Input!G56/Input!G$7</f>
        <v>18.054392462638077</v>
      </c>
      <c r="L7" s="6">
        <f>Input!H56/Input!H$7</f>
        <v>18.650245323808626</v>
      </c>
      <c r="M7" s="6">
        <f>Input!I56/Input!I$7</f>
        <v>14.270264612292749</v>
      </c>
      <c r="N7" s="6">
        <f>Input!J56/Input!J$7</f>
        <v>19.364846902444814</v>
      </c>
      <c r="O7" s="6">
        <f t="shared" ref="O7:O12" si="1">AVERAGE(E7:N7)</f>
        <v>17.591683066119494</v>
      </c>
    </row>
    <row r="8" spans="1:15" ht="12" customHeight="1" x14ac:dyDescent="0.2">
      <c r="B8" t="s">
        <v>84</v>
      </c>
      <c r="E8" s="6">
        <f>Input!A100/Input!A$7</f>
        <v>17.073264964007496</v>
      </c>
      <c r="F8" s="6">
        <f>Input!B100/Input!B$7</f>
        <v>89.757456615554119</v>
      </c>
      <c r="G8" s="6">
        <f>Input!C100/Input!C$7</f>
        <v>9.468066293269672</v>
      </c>
      <c r="H8" s="6">
        <f>Input!D100/Input!D$7</f>
        <v>16.926425160697885</v>
      </c>
      <c r="I8" s="6">
        <f>Input!E100/Input!E$7</f>
        <v>13.957144168962349</v>
      </c>
      <c r="J8" s="6">
        <f>Input!F100/Input!F$7</f>
        <v>10.95984591107398</v>
      </c>
      <c r="K8" s="6">
        <f>Input!G100/Input!G$7</f>
        <v>12.343948760790864</v>
      </c>
      <c r="L8" s="6">
        <f>Input!H100/Input!H$7</f>
        <v>10.607965974245699</v>
      </c>
      <c r="M8" s="6">
        <f>Input!I100/Input!I$7</f>
        <v>9.1379182716462903</v>
      </c>
      <c r="N8" s="6">
        <f>Input!J100/Input!J$7</f>
        <v>32.798764538333728</v>
      </c>
      <c r="O8" s="6">
        <f t="shared" si="1"/>
        <v>22.303080065858207</v>
      </c>
    </row>
    <row r="9" spans="1:15" ht="12" customHeight="1" x14ac:dyDescent="0.2">
      <c r="B9" t="s">
        <v>93</v>
      </c>
      <c r="E9" s="6">
        <f t="shared" ref="E9:N9" si="2">+E8-E7</f>
        <v>-3.0812326200571931</v>
      </c>
      <c r="F9" s="6">
        <f t="shared" si="2"/>
        <v>69.146569644660715</v>
      </c>
      <c r="G9" s="6">
        <f t="shared" si="2"/>
        <v>-7.313325681755579</v>
      </c>
      <c r="H9" s="6">
        <f t="shared" si="2"/>
        <v>1.4430385674931117</v>
      </c>
      <c r="I9" s="6">
        <f t="shared" si="2"/>
        <v>-0.39900826446281101</v>
      </c>
      <c r="J9" s="6">
        <f t="shared" si="2"/>
        <v>-7.2309198923234028</v>
      </c>
      <c r="K9" s="6">
        <f t="shared" si="2"/>
        <v>-5.7104437018472129</v>
      </c>
      <c r="L9" s="6">
        <f t="shared" si="2"/>
        <v>-8.0422793495629268</v>
      </c>
      <c r="M9" s="6">
        <f t="shared" si="2"/>
        <v>-5.1323463406464587</v>
      </c>
      <c r="N9" s="6">
        <f t="shared" si="2"/>
        <v>13.433917635888914</v>
      </c>
      <c r="O9" s="6">
        <f t="shared" si="1"/>
        <v>4.7113969997387173</v>
      </c>
    </row>
    <row r="10" spans="1:15" ht="12" customHeight="1" x14ac:dyDescent="0.2">
      <c r="B10" t="s">
        <v>85</v>
      </c>
      <c r="E10" s="6">
        <f>Input!A101/Input!A$7</f>
        <v>122.43599546395818</v>
      </c>
      <c r="F10" s="6">
        <f>Input!B101/Input!B$7</f>
        <v>160.8102938205858</v>
      </c>
      <c r="G10" s="6">
        <f>Input!C101/Input!C$7</f>
        <v>93.872614085024338</v>
      </c>
      <c r="H10" s="6">
        <f>Input!D101/Input!D$7</f>
        <v>100.55672543617997</v>
      </c>
      <c r="I10" s="6">
        <f>Input!E101/Input!E$7</f>
        <v>97.587224058769522</v>
      </c>
      <c r="J10" s="6">
        <f>Input!F101/Input!F$7</f>
        <v>115.51448992852502</v>
      </c>
      <c r="K10" s="6">
        <f>Input!G101/Input!G$7</f>
        <v>123.40098022834864</v>
      </c>
      <c r="L10" s="6">
        <f>Input!H101/Input!H$7</f>
        <v>131.94760127831563</v>
      </c>
      <c r="M10" s="6">
        <f>Input!I101/Input!I$7</f>
        <v>134.66386199966504</v>
      </c>
      <c r="N10" s="6">
        <f>Input!J101/Input!J$7</f>
        <v>157.42840256349393</v>
      </c>
      <c r="O10" s="6">
        <f t="shared" si="1"/>
        <v>123.82181888628661</v>
      </c>
    </row>
    <row r="11" spans="1:15" ht="12" customHeight="1" x14ac:dyDescent="0.2">
      <c r="B11" t="s">
        <v>94</v>
      </c>
      <c r="E11" s="6">
        <f>Input!A26/Input!A$7/0.04</f>
        <v>240.12407553495709</v>
      </c>
      <c r="F11" s="6">
        <f>Input!B26/Input!B$7/0.04</f>
        <v>270.10662473602054</v>
      </c>
      <c r="G11" s="6">
        <f>Input!C26/Input!C$7/0.04</f>
        <v>270.10662473602054</v>
      </c>
      <c r="H11" s="6">
        <f>Input!D26/Input!D$7/0.04</f>
        <v>270.13142791551883</v>
      </c>
      <c r="I11" s="6">
        <f>Input!E26/Input!E$7/0.04</f>
        <v>270.13142791551883</v>
      </c>
      <c r="J11" s="6">
        <f>Input!F26/Input!F$7/0.04</f>
        <v>274.45045484080572</v>
      </c>
      <c r="K11" s="6">
        <f>Input!G26/Input!G$7/0.04</f>
        <v>272.82602339181284</v>
      </c>
      <c r="L11" s="6">
        <f>Input!H26/Input!H$7/0.04</f>
        <v>276.26231318732965</v>
      </c>
      <c r="M11" s="6">
        <f>Input!I26/Input!I$7/0.04</f>
        <v>320.86568414000999</v>
      </c>
      <c r="N11" s="6">
        <f>Input!J26/Input!J$7/0.04</f>
        <v>398.58188938998342</v>
      </c>
      <c r="O11" s="6">
        <f t="shared" si="1"/>
        <v>286.35865457879771</v>
      </c>
    </row>
    <row r="12" spans="1:15" ht="12" customHeight="1" x14ac:dyDescent="0.2">
      <c r="B12" s="19" t="s">
        <v>95</v>
      </c>
      <c r="E12" s="6">
        <f t="shared" ref="E12:N12" si="3">+E10+E11</f>
        <v>362.56007099891525</v>
      </c>
      <c r="F12" s="6">
        <f t="shared" si="3"/>
        <v>430.91691855660633</v>
      </c>
      <c r="G12" s="6">
        <f t="shared" si="3"/>
        <v>363.97923882104487</v>
      </c>
      <c r="H12" s="6">
        <f t="shared" si="3"/>
        <v>370.68815335169882</v>
      </c>
      <c r="I12" s="6">
        <f t="shared" si="3"/>
        <v>367.71865197428838</v>
      </c>
      <c r="J12" s="6">
        <f t="shared" si="3"/>
        <v>389.96494476933071</v>
      </c>
      <c r="K12" s="6">
        <f t="shared" si="3"/>
        <v>396.2270036201615</v>
      </c>
      <c r="L12" s="6">
        <f t="shared" si="3"/>
        <v>408.20991446564528</v>
      </c>
      <c r="M12" s="6">
        <f t="shared" si="3"/>
        <v>455.52954613967506</v>
      </c>
      <c r="N12" s="6">
        <f t="shared" si="3"/>
        <v>556.01029195347735</v>
      </c>
      <c r="O12" s="6">
        <f t="shared" si="1"/>
        <v>410.18047346508439</v>
      </c>
    </row>
    <row r="13" spans="1:15" ht="3" customHeight="1" x14ac:dyDescent="0.2">
      <c r="B13" s="19"/>
      <c r="E13" s="20"/>
      <c r="F13" s="20"/>
      <c r="G13" s="20"/>
      <c r="H13" s="20"/>
      <c r="I13" s="20"/>
      <c r="J13" s="20"/>
      <c r="K13" s="20"/>
      <c r="L13" s="20"/>
      <c r="M13" s="20"/>
      <c r="N13" s="20"/>
      <c r="O13" s="20"/>
    </row>
    <row r="14" spans="1:15" ht="12.75" customHeight="1" x14ac:dyDescent="0.2">
      <c r="A14" s="21" t="s">
        <v>96</v>
      </c>
      <c r="B14" s="5"/>
      <c r="C14" s="5"/>
      <c r="D14" s="5"/>
      <c r="E14" s="5"/>
      <c r="F14" s="5"/>
      <c r="G14" s="5"/>
      <c r="H14" s="5"/>
      <c r="I14" s="5"/>
      <c r="J14" s="5"/>
      <c r="K14" s="5"/>
      <c r="L14" s="5"/>
      <c r="M14" s="5"/>
      <c r="N14" s="5"/>
      <c r="O14" s="5"/>
    </row>
    <row r="15" spans="1:15" ht="12" customHeight="1" x14ac:dyDescent="0.2">
      <c r="B15" t="s">
        <v>92</v>
      </c>
      <c r="E15" s="22">
        <f>+E7/E$10*100</f>
        <v>16.461251862813189</v>
      </c>
      <c r="F15" s="22">
        <f t="shared" ref="F15:N15" si="4">+F7/F$10*100</f>
        <v>12.816895287741175</v>
      </c>
      <c r="G15" s="22">
        <f t="shared" si="4"/>
        <v>17.876770705272619</v>
      </c>
      <c r="H15" s="22">
        <f t="shared" si="4"/>
        <v>15.39766388179731</v>
      </c>
      <c r="I15" s="22">
        <f t="shared" si="4"/>
        <v>14.711098273252981</v>
      </c>
      <c r="J15" s="22">
        <f t="shared" si="4"/>
        <v>15.747605183257079</v>
      </c>
      <c r="K15" s="22">
        <f t="shared" si="4"/>
        <v>14.630671838448233</v>
      </c>
      <c r="L15" s="22">
        <f t="shared" si="4"/>
        <v>14.134584595039259</v>
      </c>
      <c r="M15" s="22">
        <f t="shared" si="4"/>
        <v>10.596951847651781</v>
      </c>
      <c r="N15" s="22">
        <f t="shared" si="4"/>
        <v>12.300732642341712</v>
      </c>
      <c r="O15" s="22">
        <f>AVERAGE(E15:N15)</f>
        <v>14.467422611761531</v>
      </c>
    </row>
    <row r="16" spans="1:15" ht="12" customHeight="1" x14ac:dyDescent="0.2">
      <c r="B16" t="s">
        <v>84</v>
      </c>
      <c r="E16" s="22">
        <f>+E8/E$10*100</f>
        <v>13.944645036216821</v>
      </c>
      <c r="F16" s="22">
        <f t="shared" ref="F16:N16" si="5">+F8/F$10*100</f>
        <v>55.815740698599484</v>
      </c>
      <c r="G16" s="22">
        <f t="shared" si="5"/>
        <v>10.08607929538859</v>
      </c>
      <c r="H16" s="22">
        <f t="shared" si="5"/>
        <v>16.83271316490962</v>
      </c>
      <c r="I16" s="22">
        <f t="shared" si="5"/>
        <v>14.302224808195179</v>
      </c>
      <c r="J16" s="22">
        <f t="shared" si="5"/>
        <v>9.4878537903387024</v>
      </c>
      <c r="K16" s="22">
        <f t="shared" si="5"/>
        <v>10.003120508401857</v>
      </c>
      <c r="L16" s="22">
        <f t="shared" si="5"/>
        <v>8.039529230903133</v>
      </c>
      <c r="M16" s="22">
        <f t="shared" si="5"/>
        <v>6.7857241994656441</v>
      </c>
      <c r="N16" s="22">
        <f t="shared" si="5"/>
        <v>20.834083306603681</v>
      </c>
      <c r="O16" s="22">
        <f>AVERAGE(E16:N16)</f>
        <v>16.613171403902271</v>
      </c>
    </row>
    <row r="17" spans="1:15" ht="12" customHeight="1" x14ac:dyDescent="0.2">
      <c r="B17" t="s">
        <v>93</v>
      </c>
      <c r="E17" s="22">
        <f>+E9/E$10*100</f>
        <v>-2.5166068265963699</v>
      </c>
      <c r="F17" s="22">
        <f t="shared" ref="F17:N17" si="6">+F9/F$10*100</f>
        <v>42.998845410858308</v>
      </c>
      <c r="G17" s="22">
        <f t="shared" si="6"/>
        <v>-7.7906914098840314</v>
      </c>
      <c r="H17" s="22">
        <f t="shared" si="6"/>
        <v>1.4350492831123072</v>
      </c>
      <c r="I17" s="22">
        <f t="shared" si="6"/>
        <v>-0.40887346505780109</v>
      </c>
      <c r="J17" s="22">
        <f t="shared" si="6"/>
        <v>-6.2597513929183766</v>
      </c>
      <c r="K17" s="22">
        <f t="shared" si="6"/>
        <v>-4.6275513300463755</v>
      </c>
      <c r="L17" s="22">
        <f t="shared" si="6"/>
        <v>-6.0950553641361278</v>
      </c>
      <c r="M17" s="22">
        <f t="shared" si="6"/>
        <v>-3.8112276481861365</v>
      </c>
      <c r="N17" s="22">
        <f t="shared" si="6"/>
        <v>8.5333506642619685</v>
      </c>
      <c r="O17" s="22">
        <f>AVERAGE(E17:N17)</f>
        <v>2.1457487921407363</v>
      </c>
    </row>
    <row r="18" spans="1:15" ht="3" customHeight="1" x14ac:dyDescent="0.2">
      <c r="E18" s="22"/>
      <c r="F18" s="22"/>
      <c r="G18" s="22"/>
      <c r="H18" s="22"/>
      <c r="I18" s="22"/>
      <c r="J18" s="22"/>
      <c r="K18" s="22"/>
      <c r="L18" s="22"/>
      <c r="M18" s="22"/>
      <c r="N18" s="22"/>
      <c r="O18" s="22"/>
    </row>
    <row r="19" spans="1:15" ht="12.75" customHeight="1" x14ac:dyDescent="0.2">
      <c r="A19" s="4" t="s">
        <v>97</v>
      </c>
      <c r="E19" s="23"/>
      <c r="F19" s="23"/>
      <c r="G19" s="23"/>
      <c r="H19" s="23"/>
      <c r="I19" s="23"/>
      <c r="J19" s="23"/>
      <c r="K19" s="23"/>
      <c r="L19" s="23"/>
      <c r="M19" s="23"/>
      <c r="N19" s="23"/>
      <c r="O19" s="23"/>
    </row>
    <row r="20" spans="1:15" ht="12" customHeight="1" x14ac:dyDescent="0.2">
      <c r="B20" t="s">
        <v>85</v>
      </c>
      <c r="E20" s="22">
        <f>+E10/E$12*100</f>
        <v>33.76985091784266</v>
      </c>
      <c r="F20" s="22">
        <f t="shared" ref="F20:N20" si="7">+F10/F$12*100</f>
        <v>37.318166657098047</v>
      </c>
      <c r="G20" s="22">
        <f t="shared" si="7"/>
        <v>25.790650694551847</v>
      </c>
      <c r="H20" s="22">
        <f t="shared" si="7"/>
        <v>27.127040485907973</v>
      </c>
      <c r="I20" s="22">
        <f t="shared" si="7"/>
        <v>26.538557001343793</v>
      </c>
      <c r="J20" s="22">
        <f t="shared" si="7"/>
        <v>29.621762539926078</v>
      </c>
      <c r="K20" s="22">
        <f t="shared" si="7"/>
        <v>31.144010655731481</v>
      </c>
      <c r="L20" s="22">
        <f t="shared" si="7"/>
        <v>32.323468049774732</v>
      </c>
      <c r="M20" s="22">
        <f t="shared" si="7"/>
        <v>29.562047761963221</v>
      </c>
      <c r="N20" s="22">
        <f t="shared" si="7"/>
        <v>28.313936781707326</v>
      </c>
      <c r="O20" s="22">
        <f>AVERAGE(E20:N20)</f>
        <v>30.150949154584715</v>
      </c>
    </row>
    <row r="21" spans="1:15" ht="12" customHeight="1" x14ac:dyDescent="0.2">
      <c r="B21" t="s">
        <v>94</v>
      </c>
      <c r="E21" s="22">
        <f>+E11/E$12*100</f>
        <v>66.23014908215734</v>
      </c>
      <c r="F21" s="22">
        <f t="shared" ref="F21:N21" si="8">+F11/F$12*100</f>
        <v>62.68183334290196</v>
      </c>
      <c r="G21" s="22">
        <f t="shared" si="8"/>
        <v>74.209349305448143</v>
      </c>
      <c r="H21" s="22">
        <f t="shared" si="8"/>
        <v>72.872959514092017</v>
      </c>
      <c r="I21" s="22">
        <f t="shared" si="8"/>
        <v>73.461442998656196</v>
      </c>
      <c r="J21" s="22">
        <f t="shared" si="8"/>
        <v>70.378237460073933</v>
      </c>
      <c r="K21" s="22">
        <f t="shared" si="8"/>
        <v>68.855989344268522</v>
      </c>
      <c r="L21" s="22">
        <f t="shared" si="8"/>
        <v>67.676531950225254</v>
      </c>
      <c r="M21" s="22">
        <f t="shared" si="8"/>
        <v>70.437952238036772</v>
      </c>
      <c r="N21" s="22">
        <f t="shared" si="8"/>
        <v>71.686063218292674</v>
      </c>
      <c r="O21" s="22">
        <f>AVERAGE(E21:N21)</f>
        <v>69.849050845415292</v>
      </c>
    </row>
    <row r="22" spans="1:15" ht="3" customHeight="1" x14ac:dyDescent="0.2">
      <c r="E22" s="22"/>
      <c r="F22" s="22"/>
      <c r="G22" s="22"/>
      <c r="H22" s="22"/>
      <c r="I22" s="22"/>
      <c r="J22" s="22"/>
      <c r="K22" s="22"/>
      <c r="L22" s="22"/>
      <c r="M22" s="22"/>
      <c r="N22" s="22"/>
      <c r="O22" s="22"/>
    </row>
    <row r="23" spans="1:15" ht="12.75" customHeight="1" x14ac:dyDescent="0.2">
      <c r="A23" s="4" t="s">
        <v>98</v>
      </c>
      <c r="E23" s="23"/>
      <c r="F23" s="23"/>
      <c r="G23" s="23"/>
      <c r="H23" s="23"/>
      <c r="I23" s="23"/>
      <c r="J23" s="23"/>
      <c r="K23" s="23"/>
      <c r="L23" s="23"/>
      <c r="M23" s="23"/>
      <c r="N23" s="23"/>
      <c r="O23" s="23"/>
    </row>
    <row r="24" spans="1:15" ht="12" customHeight="1" x14ac:dyDescent="0.2">
      <c r="B24" t="s">
        <v>55</v>
      </c>
      <c r="E24" s="22">
        <f>Input!A108/Input!A$56*100</f>
        <v>5.2690252538863085</v>
      </c>
      <c r="F24" s="22">
        <f>Input!B108/Input!B$56*100</f>
        <v>5.2588333830720169</v>
      </c>
      <c r="G24" s="22">
        <f>Input!C108/Input!C$56*100</f>
        <v>4.6746952143323703</v>
      </c>
      <c r="H24" s="22">
        <f>Input!D108/Input!D$56*100</f>
        <v>5.5996925049201121</v>
      </c>
      <c r="I24" s="22">
        <f>Input!E108/Input!E$56*100</f>
        <v>6.7666953437572968</v>
      </c>
      <c r="J24" s="22">
        <f>Input!F108/Input!F$56*100</f>
        <v>5.7717971076259369</v>
      </c>
      <c r="K24" s="22">
        <f>Input!G108/Input!G$56*100</f>
        <v>3.4854555504558689</v>
      </c>
      <c r="L24" s="22">
        <f>Input!H108/Input!H$56*100</f>
        <v>3.6941847987470617</v>
      </c>
      <c r="M24" s="22">
        <f>Input!I108/Input!I$56*100</f>
        <v>6.7599954229515511</v>
      </c>
      <c r="N24" s="22">
        <f>Input!J108/Input!J$56*100</f>
        <v>3.039660914320315</v>
      </c>
      <c r="O24" s="22">
        <f>AVERAGE(E24:N24)</f>
        <v>5.032003549406884</v>
      </c>
    </row>
    <row r="25" spans="1:15" ht="12" customHeight="1" x14ac:dyDescent="0.2">
      <c r="B25" t="s">
        <v>60</v>
      </c>
      <c r="E25" s="22">
        <f>Input!A109/Input!A$56*100</f>
        <v>42.755944660994679</v>
      </c>
      <c r="F25" s="22">
        <f>Input!B109/Input!B$56*100</f>
        <v>33.39603570440066</v>
      </c>
      <c r="G25" s="22">
        <f>Input!C109/Input!C$56*100</f>
        <v>21.057926812920599</v>
      </c>
      <c r="H25" s="22">
        <f>Input!D109/Input!D$56*100</f>
        <v>18.763794814762804</v>
      </c>
      <c r="I25" s="22">
        <f>Input!E109/Input!E$56*100</f>
        <v>14.916485702498106</v>
      </c>
      <c r="J25" s="22">
        <f>Input!F109/Input!F$56*100</f>
        <v>29.226783280957736</v>
      </c>
      <c r="K25" s="22">
        <f>Input!G109/Input!G$56*100</f>
        <v>33.341892032168438</v>
      </c>
      <c r="L25" s="22">
        <f>Input!H109/Input!H$56*100</f>
        <v>30.149864963182132</v>
      </c>
      <c r="M25" s="22">
        <f>Input!I109/Input!I$56*100</f>
        <v>9.3407231149748711</v>
      </c>
      <c r="N25" s="22">
        <f>Input!J109/Input!J$56*100</f>
        <v>9.7504109256583078</v>
      </c>
      <c r="O25" s="22">
        <f>AVERAGE(E25:N25)</f>
        <v>24.269986201251832</v>
      </c>
    </row>
    <row r="26" spans="1:15" ht="12" customHeight="1" x14ac:dyDescent="0.2">
      <c r="B26" t="s">
        <v>99</v>
      </c>
      <c r="E26" s="22">
        <f>Input!A110/Input!A$56*100</f>
        <v>3.18061209052876</v>
      </c>
      <c r="F26" s="22">
        <f>Input!B110/Input!B$56*100</f>
        <v>10.88275716870751</v>
      </c>
      <c r="G26" s="22">
        <f>Input!C110/Input!C$56*100</f>
        <v>13.527653426395064</v>
      </c>
      <c r="H26" s="22">
        <f>Input!D110/Input!D$56*100</f>
        <v>16.137655882592959</v>
      </c>
      <c r="I26" s="22">
        <f>Input!E110/Input!E$56*100</f>
        <v>18.163983919507988</v>
      </c>
      <c r="J26" s="22">
        <f>Input!F110/Input!F$56*100</f>
        <v>15.493890057780533</v>
      </c>
      <c r="K26" s="22">
        <f>Input!G110/Input!G$56*100</f>
        <v>22.895237464561049</v>
      </c>
      <c r="L26" s="22">
        <f>Input!H110/Input!H$56*100</f>
        <v>30.753266959634505</v>
      </c>
      <c r="M26" s="22">
        <f>Input!I110/Input!I$56*100</f>
        <v>29.84590016753171</v>
      </c>
      <c r="N26" s="22">
        <f>Input!J110/Input!J$56*100</f>
        <v>35.490714489710612</v>
      </c>
      <c r="O26" s="22">
        <f>AVERAGE(E26:N26)</f>
        <v>19.637167162695068</v>
      </c>
    </row>
    <row r="27" spans="1:15" ht="12" customHeight="1" x14ac:dyDescent="0.2">
      <c r="B27" t="s">
        <v>255</v>
      </c>
      <c r="E27" s="22">
        <f>Input!A111/Input!A$56*100</f>
        <v>19.49597909375343</v>
      </c>
      <c r="F27" s="22">
        <f>Input!B111/Input!B$56*100</f>
        <v>25.187754064327599</v>
      </c>
      <c r="G27" s="22">
        <f>Input!C111/Input!C$56*100</f>
        <v>28.142970027161486</v>
      </c>
      <c r="H27" s="22">
        <f>Input!D111/Input!D$56*100</f>
        <v>29.593370850168622</v>
      </c>
      <c r="I27" s="22">
        <f>Input!E111/Input!E$56*100</f>
        <v>31.60845217268939</v>
      </c>
      <c r="J27" s="22">
        <f>Input!F111/Input!F$56*100</f>
        <v>24.889809169934527</v>
      </c>
      <c r="K27" s="22">
        <f>Input!G111/Input!G$56*100</f>
        <v>16.09674284268527</v>
      </c>
      <c r="L27" s="22">
        <f>Input!H111/Input!H$56*100</f>
        <v>15.776694038240912</v>
      </c>
      <c r="M27" s="22">
        <f>Input!I111/Input!I$56*100</f>
        <v>33.765719667518503</v>
      </c>
      <c r="N27" s="22">
        <f>Input!J111/Input!J$56*100</f>
        <v>32.244426303654755</v>
      </c>
      <c r="O27" s="22">
        <f>AVERAGE(E27:N27)</f>
        <v>25.680191823013452</v>
      </c>
    </row>
    <row r="28" spans="1:15" ht="12" customHeight="1" x14ac:dyDescent="0.2">
      <c r="B28" t="s">
        <v>15</v>
      </c>
      <c r="E28" s="22">
        <f>Input!A112/Input!A$56*100</f>
        <v>29.298438900836821</v>
      </c>
      <c r="F28" s="22">
        <f>Input!B112/Input!B$56*100</f>
        <v>25.274619679492204</v>
      </c>
      <c r="G28" s="22">
        <f>Input!C112/Input!C$56*100</f>
        <v>32.596754519190476</v>
      </c>
      <c r="H28" s="22">
        <f>Input!D112/Input!D$56*100</f>
        <v>29.905485947555512</v>
      </c>
      <c r="I28" s="22">
        <f>Input!E112/Input!E$56*100</f>
        <v>28.54438286154722</v>
      </c>
      <c r="J28" s="22">
        <f>Input!F112/Input!F$56*100</f>
        <v>24.617720383701268</v>
      </c>
      <c r="K28" s="22">
        <f>Input!G112/Input!G$56*100</f>
        <v>24.180672110129375</v>
      </c>
      <c r="L28" s="22">
        <f>Input!H112/Input!H$56*100</f>
        <v>19.625989240195391</v>
      </c>
      <c r="M28" s="22">
        <f>Input!I112/Input!I$56*100</f>
        <v>20.287661627023361</v>
      </c>
      <c r="N28" s="22">
        <f>Input!J112/Input!J$56*100</f>
        <v>19.474787366656003</v>
      </c>
      <c r="O28" s="22">
        <f>AVERAGE(E28:N28)</f>
        <v>25.380651263632764</v>
      </c>
    </row>
    <row r="29" spans="1:15" ht="3" customHeight="1" x14ac:dyDescent="0.2">
      <c r="E29" s="22"/>
      <c r="F29" s="22"/>
      <c r="G29" s="22"/>
      <c r="H29" s="22"/>
      <c r="I29" s="22"/>
      <c r="J29" s="22"/>
      <c r="K29" s="22"/>
      <c r="L29" s="22"/>
      <c r="M29" s="22"/>
      <c r="N29" s="22"/>
      <c r="O29" s="22"/>
    </row>
    <row r="30" spans="1:15" ht="12" customHeight="1" x14ac:dyDescent="0.2">
      <c r="A30" s="4" t="s">
        <v>100</v>
      </c>
      <c r="E30" s="23"/>
      <c r="F30" s="23"/>
      <c r="G30" s="23"/>
      <c r="H30" s="23"/>
      <c r="I30" s="23"/>
      <c r="J30" s="23"/>
      <c r="K30" s="23"/>
      <c r="L30" s="23"/>
      <c r="M30" s="23"/>
      <c r="N30" s="23"/>
      <c r="O30" s="23"/>
    </row>
    <row r="31" spans="1:15" ht="12" customHeight="1" x14ac:dyDescent="0.2">
      <c r="B31" t="s">
        <v>55</v>
      </c>
      <c r="E31" s="22">
        <f>Input!A113/Input!A$100*100</f>
        <v>4.4967950209997714</v>
      </c>
      <c r="F31" s="22">
        <f>Input!B113/Input!B$100*100</f>
        <v>2.703902781453924</v>
      </c>
      <c r="G31" s="22">
        <f>Input!C113/Input!C$100*100</f>
        <v>3.2419575837902501</v>
      </c>
      <c r="H31" s="22">
        <f>Input!D113/Input!D$100*100</f>
        <v>3.7729324619265898</v>
      </c>
      <c r="I31" s="22">
        <f>Input!E113/Input!E$100*100</f>
        <v>4.4110496975853541</v>
      </c>
      <c r="J31" s="22">
        <f>Input!F113/Input!F$100*100</f>
        <v>1.0275054497138234</v>
      </c>
      <c r="K31" s="22">
        <f>Input!G113/Input!G$100*100</f>
        <v>3.2761208036976011</v>
      </c>
      <c r="L31" s="22">
        <f>Input!H113/Input!H$100*100</f>
        <v>22.463127386015103</v>
      </c>
      <c r="M31" s="22">
        <f>Input!I113/Input!I$100*100</f>
        <v>7.3383537524208471</v>
      </c>
      <c r="N31" s="22">
        <f>Input!J113/Input!J$100*100</f>
        <v>1.0734492490096066</v>
      </c>
      <c r="O31" s="22">
        <f>AVERAGE(E31:N31)</f>
        <v>5.3805194186612875</v>
      </c>
    </row>
    <row r="32" spans="1:15" ht="12" customHeight="1" x14ac:dyDescent="0.2">
      <c r="B32" t="s">
        <v>60</v>
      </c>
      <c r="E32" s="22">
        <f>Input!A114/Input!A$100*100</f>
        <v>5.1425904057514611</v>
      </c>
      <c r="F32" s="22">
        <f>Input!B114/Input!B$100*100</f>
        <v>75.493237440116275</v>
      </c>
      <c r="G32" s="22">
        <f>Input!C114/Input!C$100*100</f>
        <v>9.7795013048806521</v>
      </c>
      <c r="H32" s="22">
        <f>Input!D114/Input!D$100*100</f>
        <v>41.196233230439283</v>
      </c>
      <c r="I32" s="22">
        <f>Input!E114/Input!E$100*100</f>
        <v>37.726794536338119</v>
      </c>
      <c r="J32" s="22">
        <f>Input!F114/Input!F$100*100</f>
        <v>6.0848432655698188</v>
      </c>
      <c r="K32" s="22">
        <f>Input!G114/Input!G$100*100</f>
        <v>3.6351109659278569</v>
      </c>
      <c r="L32" s="22">
        <f>Input!H114/Input!H$100*100</f>
        <v>17.250947317495459</v>
      </c>
      <c r="M32" s="22">
        <f>Input!I114/Input!I$100*100</f>
        <v>7.8149264027626302</v>
      </c>
      <c r="N32" s="22">
        <f>Input!J114/Input!J$100*100</f>
        <v>5.7874445216659183</v>
      </c>
      <c r="O32" s="22">
        <f>AVERAGE(E32:N32)</f>
        <v>20.99116293909475</v>
      </c>
    </row>
    <row r="33" spans="1:15" ht="12" customHeight="1" x14ac:dyDescent="0.2">
      <c r="B33" t="s">
        <v>99</v>
      </c>
      <c r="E33" s="22">
        <f>Input!A115/Input!A$100*100</f>
        <v>8.0722257216386417</v>
      </c>
      <c r="F33" s="22">
        <f>Input!B115/Input!B$100*100</f>
        <v>0.63825480324525297</v>
      </c>
      <c r="G33" s="22">
        <f>Input!C115/Input!C$100*100</f>
        <v>0.23872949398792881</v>
      </c>
      <c r="H33" s="22">
        <f>Input!D115/Input!D$100*100</f>
        <v>6.7566446626861341</v>
      </c>
      <c r="I33" s="22">
        <f>Input!E115/Input!E$100*100</f>
        <v>9.6600310671588829</v>
      </c>
      <c r="J33" s="22">
        <f>Input!F115/Input!F$100*100</f>
        <v>0.26341059852247495</v>
      </c>
      <c r="K33" s="22">
        <f>Input!G115/Input!G$100*100</f>
        <v>11.589534051990444</v>
      </c>
      <c r="L33" s="22">
        <f>Input!H115/Input!H$100*100</f>
        <v>1.551088689651567</v>
      </c>
      <c r="M33" s="22">
        <f>Input!I115/Input!I$100*100</f>
        <v>0.29976626808407458</v>
      </c>
      <c r="N33" s="22">
        <f>Input!J115/Input!J$100*100</f>
        <v>43.44860384222325</v>
      </c>
      <c r="O33" s="22">
        <f>AVERAGE(E33:N33)</f>
        <v>8.2518289199188644</v>
      </c>
    </row>
    <row r="34" spans="1:15" ht="12" customHeight="1" x14ac:dyDescent="0.2">
      <c r="B34" t="s">
        <v>255</v>
      </c>
      <c r="E34" s="22">
        <f>Input!A116/Input!A$100*100</f>
        <v>12.265578406558669</v>
      </c>
      <c r="F34" s="22">
        <f>Input!B116/Input!B$100*100</f>
        <v>6.5076804478828603</v>
      </c>
      <c r="G34" s="22">
        <f>Input!C116/Input!C$100*100</f>
        <v>46.542505089621258</v>
      </c>
      <c r="H34" s="22">
        <f>Input!D116/Input!D$100*100</f>
        <v>28.272379835225941</v>
      </c>
      <c r="I34" s="22">
        <f>Input!E116/Input!E$100*100</f>
        <v>29.259960800903727</v>
      </c>
      <c r="J34" s="22">
        <f>Input!F116/Input!F$100*100</f>
        <v>8.0829305087590946</v>
      </c>
      <c r="K34" s="22">
        <f>Input!G116/Input!G$100*100</f>
        <v>7.4444643971155067</v>
      </c>
      <c r="L34" s="22">
        <f>Input!H116/Input!H$100*100</f>
        <v>9.0261359060023576</v>
      </c>
      <c r="M34" s="22">
        <f>Input!I116/Input!I$100*100</f>
        <v>0.19047877379541375</v>
      </c>
      <c r="N34" s="22">
        <f>Input!J116/Input!J$100*100</f>
        <v>12.629428338638988</v>
      </c>
      <c r="O34" s="22">
        <f>AVERAGE(E34:N34)</f>
        <v>16.022154250450381</v>
      </c>
    </row>
    <row r="35" spans="1:15" ht="12" customHeight="1" x14ac:dyDescent="0.2">
      <c r="B35" t="s">
        <v>15</v>
      </c>
      <c r="E35" s="22">
        <f>Input!A117/Input!A$100*100</f>
        <v>70.022810445051448</v>
      </c>
      <c r="F35" s="22">
        <f>Input!B117/Input!B$100*100</f>
        <v>14.656924527301696</v>
      </c>
      <c r="G35" s="22">
        <f>Input!C117/Input!C$100*100</f>
        <v>40.197306527719903</v>
      </c>
      <c r="H35" s="22">
        <f>Input!D117/Input!D$100*100</f>
        <v>20.001809809722051</v>
      </c>
      <c r="I35" s="22">
        <f>Input!E117/Input!E$100*100</f>
        <v>18.942163898013927</v>
      </c>
      <c r="J35" s="22">
        <f>Input!F117/Input!F$100*100</f>
        <v>84.541310177434795</v>
      </c>
      <c r="K35" s="22">
        <f>Input!G117/Input!G$100*100</f>
        <v>74.05476978126859</v>
      </c>
      <c r="L35" s="22">
        <f>Input!H117/Input!H$100*100</f>
        <v>49.708700700835514</v>
      </c>
      <c r="M35" s="22">
        <f>Input!I117/Input!I$100*100</f>
        <v>84.356474802937029</v>
      </c>
      <c r="N35" s="22">
        <f>Input!J117/Input!J$100*100</f>
        <v>37.061074048462231</v>
      </c>
      <c r="O35" s="22">
        <f>AVERAGE(E35:N35)</f>
        <v>49.354334471874715</v>
      </c>
    </row>
    <row r="36" spans="1:15" ht="3" customHeight="1" x14ac:dyDescent="0.2">
      <c r="B36" s="1"/>
      <c r="E36" s="24"/>
      <c r="F36" s="24"/>
      <c r="G36" s="24"/>
      <c r="H36" s="24"/>
      <c r="I36" s="24"/>
      <c r="J36" s="24"/>
      <c r="K36" s="24"/>
      <c r="L36" s="24"/>
      <c r="M36" s="24"/>
      <c r="N36" s="24"/>
      <c r="O36" s="24"/>
    </row>
    <row r="37" spans="1:15" ht="12.75" customHeight="1" x14ac:dyDescent="0.2">
      <c r="A37" s="4" t="s">
        <v>101</v>
      </c>
      <c r="E37" s="23"/>
      <c r="F37" s="23"/>
      <c r="G37" s="23"/>
      <c r="H37" s="23"/>
      <c r="I37" s="23"/>
      <c r="J37" s="23"/>
      <c r="K37" s="23"/>
      <c r="L37" s="23"/>
      <c r="M37" s="23"/>
      <c r="N37" s="23"/>
      <c r="O37" s="23"/>
    </row>
    <row r="38" spans="1:15" ht="12" customHeight="1" x14ac:dyDescent="0.2">
      <c r="B38" t="s">
        <v>55</v>
      </c>
      <c r="E38" s="22">
        <f>Input!A118/Input!A$101*100</f>
        <v>2.2091367911766935</v>
      </c>
      <c r="F38" s="22">
        <f>Input!B118/Input!B$101*100</f>
        <v>1.8240085213478288</v>
      </c>
      <c r="G38" s="22">
        <f>Input!C118/Input!C$101*100</f>
        <v>1.7215771046676562</v>
      </c>
      <c r="H38" s="22">
        <f>Input!D118/Input!D$101*100</f>
        <v>2.075828093648771</v>
      </c>
      <c r="I38" s="22">
        <f>Input!E118/Input!E$101*100</f>
        <v>2.4335724824055349</v>
      </c>
      <c r="J38" s="22">
        <f>Input!F118/Input!F$101*100</f>
        <v>2.4176849044098314</v>
      </c>
      <c r="K38" s="22">
        <f>Input!G118/Input!G$101*100</f>
        <v>1.726852069577679</v>
      </c>
      <c r="L38" s="22">
        <f>Input!H118/Input!H$101*100</f>
        <v>1.9428340209703507</v>
      </c>
      <c r="M38" s="22">
        <f>Input!I118/Input!I$101*100</f>
        <v>1.2018971992167127</v>
      </c>
      <c r="N38" s="22">
        <f>Input!J118/Input!J$101*100</f>
        <v>0.91651231716697035</v>
      </c>
      <c r="O38" s="25">
        <f>AVERAGE(E38:N38)</f>
        <v>1.8469903504588028</v>
      </c>
    </row>
    <row r="39" spans="1:15" ht="12" customHeight="1" x14ac:dyDescent="0.2">
      <c r="B39" t="s">
        <v>60</v>
      </c>
      <c r="E39" s="22">
        <f>Input!A119/Input!A$101*100</f>
        <v>53.163298472871126</v>
      </c>
      <c r="F39" s="22">
        <f>Input!B119/Input!B$101*100</f>
        <v>42.072821673449276</v>
      </c>
      <c r="G39" s="22">
        <f>Input!C119/Input!C$101*100</f>
        <v>8.8668796939618453</v>
      </c>
      <c r="H39" s="22">
        <f>Input!D119/Input!D$101*100</f>
        <v>10.088011030308639</v>
      </c>
      <c r="I39" s="22">
        <f>Input!E119/Input!E$101*100</f>
        <v>6.7360595409797828</v>
      </c>
      <c r="J39" s="22">
        <f>Input!F119/Input!F$101*100</f>
        <v>3.1108156809148166</v>
      </c>
      <c r="K39" s="22">
        <f>Input!G119/Input!G$101*100</f>
        <v>21.167520872367898</v>
      </c>
      <c r="L39" s="22">
        <f>Input!H119/Input!H$101*100</f>
        <v>23.912850445001936</v>
      </c>
      <c r="M39" s="22">
        <f>Input!I119/Input!I$101*100</f>
        <v>1.5238883813648307</v>
      </c>
      <c r="N39" s="22">
        <f>Input!J119/Input!J$101*100</f>
        <v>2.173954768447405</v>
      </c>
      <c r="O39" s="22">
        <f>AVERAGE(E39:N39)</f>
        <v>17.281610055966755</v>
      </c>
    </row>
    <row r="40" spans="1:15" ht="12" customHeight="1" x14ac:dyDescent="0.2">
      <c r="B40" t="s">
        <v>99</v>
      </c>
      <c r="E40" s="22">
        <f>Input!A120/Input!A$101*100</f>
        <v>3.1522174158714127</v>
      </c>
      <c r="F40" s="22">
        <f>Input!B120/Input!B$101*100</f>
        <v>14.248908882057229</v>
      </c>
      <c r="G40" s="22">
        <f>Input!C120/Input!C$101*100</f>
        <v>26.169799515367597</v>
      </c>
      <c r="H40" s="22">
        <f>Input!D120/Input!D$101*100</f>
        <v>26.667807179705516</v>
      </c>
      <c r="I40" s="22">
        <f>Input!E120/Input!E$101*100</f>
        <v>28.867669202095552</v>
      </c>
      <c r="J40" s="22">
        <f>Input!F120/Input!F$101*100</f>
        <v>32.706002293726897</v>
      </c>
      <c r="K40" s="22">
        <f>Input!G120/Input!G$101*100</f>
        <v>28.005484975779577</v>
      </c>
      <c r="L40" s="22">
        <f>Input!H120/Input!H$101*100</f>
        <v>31.053796181400369</v>
      </c>
      <c r="M40" s="22">
        <f>Input!I120/Input!I$101*100</f>
        <v>46.917122161493992</v>
      </c>
      <c r="N40" s="22">
        <f>Input!J120/Input!J$101*100</f>
        <v>44.23897647849622</v>
      </c>
      <c r="O40" s="22">
        <f>AVERAGE(E40:N40)</f>
        <v>28.202778428599437</v>
      </c>
    </row>
    <row r="41" spans="1:15" ht="12" customHeight="1" x14ac:dyDescent="0.2">
      <c r="B41" t="s">
        <v>255</v>
      </c>
      <c r="E41" s="22">
        <f>Input!A121/Input!A$101*100</f>
        <v>18.837290304677964</v>
      </c>
      <c r="F41" s="22">
        <f>Input!B121/Input!B$101*100</f>
        <v>26.516405808246919</v>
      </c>
      <c r="G41" s="22">
        <f>Input!C121/Input!C$101*100</f>
        <v>45.31569809437444</v>
      </c>
      <c r="H41" s="22">
        <f>Input!D121/Input!D$101*100</f>
        <v>42.718892070056185</v>
      </c>
      <c r="I41" s="22">
        <f>Input!E121/Input!E$101*100</f>
        <v>44.570907614122177</v>
      </c>
      <c r="J41" s="22">
        <f>Input!F121/Input!F$101*100</f>
        <v>38.562415664714727</v>
      </c>
      <c r="K41" s="22">
        <f>Input!G121/Input!G$101*100</f>
        <v>28.089464292865745</v>
      </c>
      <c r="L41" s="22">
        <f>Input!H121/Input!H$101*100</f>
        <v>27.648922093811244</v>
      </c>
      <c r="M41" s="22">
        <f>Input!I121/Input!I$101*100</f>
        <v>33.837536541234705</v>
      </c>
      <c r="N41" s="22">
        <f>Input!J121/Input!J$101*100</f>
        <v>38.201931633617733</v>
      </c>
      <c r="O41" s="22">
        <f>AVERAGE(E41:N41)</f>
        <v>34.429946411772185</v>
      </c>
    </row>
    <row r="42" spans="1:15" ht="12" customHeight="1" x14ac:dyDescent="0.2">
      <c r="B42" t="s">
        <v>15</v>
      </c>
      <c r="E42" s="22">
        <f>Input!A122/Input!A$101*100</f>
        <v>22.638057015402811</v>
      </c>
      <c r="F42" s="22">
        <f>Input!B122/Input!B$101*100</f>
        <v>15.337855114898758</v>
      </c>
      <c r="G42" s="22">
        <f>Input!C122/Input!C$101*100</f>
        <v>17.926045591628458</v>
      </c>
      <c r="H42" s="22">
        <f>Input!D122/Input!D$101*100</f>
        <v>18.449461626280883</v>
      </c>
      <c r="I42" s="22">
        <f>Input!E122/Input!E$101*100</f>
        <v>17.391791160396952</v>
      </c>
      <c r="J42" s="22">
        <f>Input!F122/Input!F$101*100</f>
        <v>23.203081456233722</v>
      </c>
      <c r="K42" s="22">
        <f>Input!G122/Input!G$101*100</f>
        <v>21.010677789409101</v>
      </c>
      <c r="L42" s="22">
        <f>Input!H122/Input!H$101*100</f>
        <v>15.441597258816097</v>
      </c>
      <c r="M42" s="22">
        <f>Input!I122/Input!I$101*100</f>
        <v>16.519555716689744</v>
      </c>
      <c r="N42" s="22">
        <f>Input!J122/Input!J$101*100</f>
        <v>14.468624802271663</v>
      </c>
      <c r="O42" s="22">
        <f>AVERAGE(E42:N42)</f>
        <v>18.238674753202822</v>
      </c>
    </row>
  </sheetData>
  <mergeCells count="3">
    <mergeCell ref="D1:M1"/>
    <mergeCell ref="D2:M2"/>
    <mergeCell ref="D3:M3"/>
  </mergeCells>
  <phoneticPr fontId="0" type="noConversion"/>
  <printOptions horizontalCentered="1"/>
  <pageMargins left="0.78740157480314965" right="0.78740157480314965" top="0.78740157480314965" bottom="0.78740157480314965" header="0.43307086614173229" footer="0.43307086614173229"/>
  <pageSetup paperSize="9" orientation="landscape" horizontalDpi="0" r:id="rId1"/>
  <headerFooter alignWithMargins="0">
    <oddFooter>&amp;L&amp;8BOKU / HVLFÖ&amp;C&amp;8DVR-Nr: 0890723&amp;R&amp;8&amp;D</oddFooter>
  </headerFooter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700-000000000000}">
  <dimension ref="A1:O33"/>
  <sheetViews>
    <sheetView workbookViewId="0">
      <selection activeCell="D2" sqref="D2:M2"/>
    </sheetView>
  </sheetViews>
  <sheetFormatPr baseColWidth="10" defaultRowHeight="12.75" x14ac:dyDescent="0.2"/>
  <cols>
    <col min="1" max="1" width="0.85546875" customWidth="1"/>
    <col min="3" max="3" width="10.28515625" customWidth="1"/>
    <col min="4" max="4" width="8.85546875" customWidth="1"/>
    <col min="5" max="5" width="8.7109375" customWidth="1"/>
    <col min="6" max="14" width="8.5703125" customWidth="1"/>
    <col min="15" max="15" width="9.140625" customWidth="1"/>
  </cols>
  <sheetData>
    <row r="1" spans="1:15" ht="15.75" x14ac:dyDescent="0.25">
      <c r="A1" t="s">
        <v>48</v>
      </c>
      <c r="C1" s="12">
        <f>Input!A3</f>
        <v>2024</v>
      </c>
      <c r="D1" s="36" t="s">
        <v>177</v>
      </c>
      <c r="E1" s="36"/>
      <c r="F1" s="36"/>
      <c r="G1" s="36"/>
      <c r="H1" s="36"/>
      <c r="I1" s="36"/>
      <c r="J1" s="36"/>
      <c r="K1" s="36"/>
      <c r="L1" s="36"/>
      <c r="M1" s="36"/>
      <c r="O1" s="3" t="s">
        <v>196</v>
      </c>
    </row>
    <row r="2" spans="1:15" x14ac:dyDescent="0.2">
      <c r="D2" s="37" t="str">
        <f>Kenndat!D2</f>
        <v>Produktionsgebiet 1: Alpenvorland</v>
      </c>
      <c r="E2" s="37"/>
      <c r="F2" s="37"/>
      <c r="G2" s="37"/>
      <c r="H2" s="37"/>
      <c r="I2" s="37"/>
      <c r="J2" s="37"/>
      <c r="K2" s="37"/>
      <c r="L2" s="37"/>
      <c r="M2" s="37"/>
      <c r="N2" s="5"/>
    </row>
    <row r="4" spans="1:15" x14ac:dyDescent="0.2">
      <c r="B4" t="s">
        <v>295</v>
      </c>
      <c r="E4" s="6">
        <f>IF(Input!A158=0,"***",Input!A159/Input!A158)</f>
        <v>97.971871663966127</v>
      </c>
      <c r="F4" s="6">
        <f>IF(Input!B158=0,"***",Input!B159/Input!B158)</f>
        <v>101.69231704555936</v>
      </c>
      <c r="G4" s="6">
        <f>IF(Input!C158=0,"***",Input!C159/Input!C158)</f>
        <v>105.92869738414767</v>
      </c>
      <c r="H4" s="6">
        <f>IF(Input!D158=0,"***",Input!D159/Input!D158)</f>
        <v>93.558699914937193</v>
      </c>
      <c r="I4" s="6">
        <f>IF(Input!E158=0,"***",Input!E159/Input!E158)</f>
        <v>64.990389337359417</v>
      </c>
      <c r="J4" s="6">
        <f>IF(Input!F158=0,"***",Input!F159/Input!F158)</f>
        <v>66.626031230653268</v>
      </c>
      <c r="K4" s="6">
        <f>IF(Input!G158=0,"***",Input!G159/Input!G158)</f>
        <v>79.770476539525461</v>
      </c>
      <c r="L4" s="6">
        <f>IF(Input!H158=0,"***",Input!H159/Input!H158)</f>
        <v>79.442744331199577</v>
      </c>
      <c r="M4" s="6">
        <f>IF(Input!I158=0,"***",Input!I159/Input!I158)</f>
        <v>86.32049515016584</v>
      </c>
      <c r="N4" s="6">
        <f>IF(Input!J158=0,"***",Input!J159/Input!J158)</f>
        <v>91.20948103650656</v>
      </c>
    </row>
    <row r="5" spans="1:15" x14ac:dyDescent="0.2">
      <c r="B5" t="s">
        <v>296</v>
      </c>
      <c r="E5" s="6">
        <f>IF(Input!A160=0,"***",Input!A161/Input!A160)</f>
        <v>125.25947599293022</v>
      </c>
      <c r="F5" s="6">
        <f>IF(Input!B160=0,"***",Input!B161/Input!B160)</f>
        <v>139.77585152354573</v>
      </c>
      <c r="G5" s="6">
        <f>IF(Input!C160=0,"***",Input!C161/Input!C160)</f>
        <v>114.71605012604812</v>
      </c>
      <c r="H5" s="6">
        <f>IF(Input!D160=0,"***",Input!D161/Input!D160)</f>
        <v>122.86260448752594</v>
      </c>
      <c r="I5" s="6">
        <f>IF(Input!E160=0,"***",Input!E161/Input!E160)</f>
        <v>130.06223310174522</v>
      </c>
      <c r="J5" s="6">
        <f>IF(Input!F160=0,"***",Input!F161/Input!F160)</f>
        <v>125.39698926962552</v>
      </c>
      <c r="K5" s="6">
        <f>IF(Input!G160=0,"***",Input!G161/Input!G160)</f>
        <v>106.44162522048744</v>
      </c>
      <c r="L5" s="6">
        <f>IF(Input!H160=0,"***",Input!H161/Input!H160)</f>
        <v>109.50989824816421</v>
      </c>
      <c r="M5" s="6">
        <f>IF(Input!I160=0,"***",Input!I161/Input!I160)</f>
        <v>97.571731677772604</v>
      </c>
      <c r="N5" s="6">
        <f>IF(Input!J160=0,"***",Input!J161/Input!J160)</f>
        <v>103.27180340282335</v>
      </c>
    </row>
    <row r="6" spans="1:15" x14ac:dyDescent="0.2">
      <c r="B6" t="s">
        <v>197</v>
      </c>
      <c r="E6" s="6">
        <f>IF(Input!A162=0,"***",Input!A163/Input!A162)</f>
        <v>44.620117048527106</v>
      </c>
      <c r="F6" s="6">
        <f>IF(Input!B162=0,"***",Input!B163/Input!B162)</f>
        <v>56.354238651002866</v>
      </c>
      <c r="G6" s="6">
        <f>IF(Input!C162=0,"***",Input!C163/Input!C162)</f>
        <v>41.746688437970136</v>
      </c>
      <c r="H6" s="6">
        <f>IF(Input!D162=0,"***",Input!D163/Input!D162)</f>
        <v>34.92239390885679</v>
      </c>
      <c r="I6" s="6">
        <f>IF(Input!E162=0,"***",Input!E163/Input!E162)</f>
        <v>30.512842478269384</v>
      </c>
      <c r="J6" s="6">
        <f>IF(Input!F162=0,"***",Input!F163/Input!F162)</f>
        <v>37.226557505559711</v>
      </c>
      <c r="K6" s="6">
        <f>IF(Input!G162=0,"***",Input!G163/Input!G162)</f>
        <v>43.974487509155416</v>
      </c>
      <c r="L6" s="6">
        <f>IF(Input!H162=0,"***",Input!H163/Input!H162)</f>
        <v>40.821302914122526</v>
      </c>
      <c r="M6" s="6">
        <f>IF(Input!I162=0,"***",Input!I163/Input!I162)</f>
        <v>44.711684248726705</v>
      </c>
      <c r="N6" s="6">
        <f>IF(Input!J162=0,"***",Input!J163/Input!J162)</f>
        <v>44.942889998286148</v>
      </c>
    </row>
    <row r="7" spans="1:15" x14ac:dyDescent="0.2">
      <c r="B7" t="s">
        <v>198</v>
      </c>
      <c r="E7" s="6">
        <f>IF(Input!A164=0,"***",Input!A165/Input!A164)</f>
        <v>63.38126243719455</v>
      </c>
      <c r="F7" s="6">
        <f>IF(Input!B164=0,"***",Input!B165/Input!B164)</f>
        <v>67.200457246711281</v>
      </c>
      <c r="G7" s="6">
        <f>IF(Input!C164=0,"***",Input!C165/Input!C164)</f>
        <v>42.185933291104419</v>
      </c>
      <c r="H7" s="6">
        <f>IF(Input!D164=0,"***",Input!D165/Input!D164)</f>
        <v>38.314066900518164</v>
      </c>
      <c r="I7" s="6">
        <f>IF(Input!E164=0,"***",Input!E165/Input!E164)</f>
        <v>42.747162233993237</v>
      </c>
      <c r="J7" s="6">
        <f>IF(Input!F164=0,"***",Input!F165/Input!F164)</f>
        <v>45.435426258696559</v>
      </c>
      <c r="K7" s="6">
        <f>IF(Input!G164=0,"***",Input!G165/Input!G164)</f>
        <v>48.279203187250992</v>
      </c>
      <c r="L7" s="6">
        <f>IF(Input!H164=0,"***",Input!H165/Input!H164)</f>
        <v>42.814256935409411</v>
      </c>
      <c r="M7" s="6">
        <f>IF(Input!I164=0,"***",Input!I165/Input!I164)</f>
        <v>42.377123188085648</v>
      </c>
      <c r="N7" s="6">
        <f>IF(Input!J164=0,"***",Input!J165/Input!J164)</f>
        <v>44.844259088605867</v>
      </c>
    </row>
    <row r="8" spans="1:15" x14ac:dyDescent="0.2">
      <c r="B8" t="s">
        <v>199</v>
      </c>
      <c r="E8" s="6">
        <f>IF(Input!A166=0,"***",Input!A167/Input!A166)</f>
        <v>29.288101669784698</v>
      </c>
      <c r="F8" s="6">
        <f>IF(Input!B166=0,"***",Input!B167/Input!B166)</f>
        <v>26.650210586965517</v>
      </c>
      <c r="G8" s="6">
        <f>IF(Input!C166=0,"***",Input!C167/Input!C166)</f>
        <v>30.585690475873012</v>
      </c>
      <c r="H8" s="6">
        <f>IF(Input!D166=0,"***",Input!D167/Input!D166)</f>
        <v>23.964751275742426</v>
      </c>
      <c r="I8" s="6">
        <f>IF(Input!E166=0,"***",Input!E167/Input!E166)</f>
        <v>24.162352105389882</v>
      </c>
      <c r="J8" s="6">
        <f>IF(Input!F166=0,"***",Input!F167/Input!F166)</f>
        <v>31.928116630263975</v>
      </c>
      <c r="K8" s="6">
        <f>IF(Input!G166=0,"***",Input!G167/Input!G166)</f>
        <v>17.164810584427947</v>
      </c>
      <c r="L8" s="6">
        <f>IF(Input!H166=0,"***",Input!H167/Input!H166)</f>
        <v>23.865543440600185</v>
      </c>
      <c r="M8" s="6">
        <f>IF(Input!I166=0,"***",Input!I167/Input!I166)</f>
        <v>6.1289022595446285</v>
      </c>
      <c r="N8" s="6">
        <f>IF(Input!J166=0,"***",Input!J167/Input!J166)</f>
        <v>19.184410948361265</v>
      </c>
    </row>
    <row r="9" spans="1:15" x14ac:dyDescent="0.2">
      <c r="B9" t="s">
        <v>200</v>
      </c>
      <c r="E9" s="6">
        <f>IF(Input!A168=0,"***",Input!A169/Input!A168)</f>
        <v>55.440004465423023</v>
      </c>
      <c r="F9" s="6">
        <f>IF(Input!B168=0,"***",Input!B169/Input!B168)</f>
        <v>50.825328348638344</v>
      </c>
      <c r="G9" s="6">
        <f>IF(Input!C168=0,"***",Input!C169/Input!C168)</f>
        <v>37.631729470754706</v>
      </c>
      <c r="H9" s="6">
        <f>IF(Input!D168=0,"***",Input!D169/Input!D168)</f>
        <v>37.519835647255746</v>
      </c>
      <c r="I9" s="6">
        <f>IF(Input!E168=0,"***",Input!E169/Input!E168)</f>
        <v>51.260660488391899</v>
      </c>
      <c r="J9" s="6">
        <f>IF(Input!F168=0,"***",Input!F169/Input!F168)</f>
        <v>44.661032828823451</v>
      </c>
      <c r="K9" s="6">
        <f>IF(Input!G168=0,"***",Input!G169/Input!G168)</f>
        <v>43.591829565370965</v>
      </c>
      <c r="L9" s="6">
        <f>IF(Input!H168=0,"***",Input!H169/Input!H168)</f>
        <v>44.356310964759217</v>
      </c>
      <c r="M9" s="6">
        <f>IF(Input!I168=0,"***",Input!I169/Input!I168)</f>
        <v>37.558124843075475</v>
      </c>
      <c r="N9" s="6">
        <f>IF(Input!J168=0,"***",Input!J169/Input!J168)</f>
        <v>38.986209454991211</v>
      </c>
    </row>
    <row r="11" spans="1:15" x14ac:dyDescent="0.2">
      <c r="B11" t="s">
        <v>201</v>
      </c>
    </row>
    <row r="14" spans="1:15" ht="15.75" x14ac:dyDescent="0.25">
      <c r="A14" t="s">
        <v>48</v>
      </c>
      <c r="C14" s="12">
        <f>Input!A3</f>
        <v>2024</v>
      </c>
      <c r="D14" s="36" t="s">
        <v>14</v>
      </c>
      <c r="E14" s="36"/>
      <c r="F14" s="36"/>
      <c r="G14" s="36"/>
      <c r="H14" s="36"/>
      <c r="I14" s="36"/>
      <c r="J14" s="36"/>
      <c r="K14" s="36"/>
      <c r="L14" s="36"/>
      <c r="M14" s="36"/>
      <c r="O14" s="3" t="s">
        <v>176</v>
      </c>
    </row>
    <row r="15" spans="1:15" x14ac:dyDescent="0.2">
      <c r="D15" s="37" t="str">
        <f>Kenndat!D2</f>
        <v>Produktionsgebiet 1: Alpenvorland</v>
      </c>
      <c r="E15" s="37"/>
      <c r="F15" s="37"/>
      <c r="G15" s="37"/>
      <c r="H15" s="37"/>
      <c r="I15" s="37"/>
      <c r="J15" s="37"/>
      <c r="K15" s="37"/>
      <c r="L15" s="37"/>
      <c r="M15" s="37"/>
      <c r="N15" s="5"/>
    </row>
    <row r="16" spans="1:15" x14ac:dyDescent="0.2">
      <c r="D16" s="38" t="s">
        <v>169</v>
      </c>
      <c r="E16" s="38"/>
      <c r="F16" s="38"/>
      <c r="G16" s="38"/>
      <c r="H16" s="38"/>
      <c r="I16" s="38"/>
      <c r="J16" s="38"/>
      <c r="K16" s="38"/>
      <c r="L16" s="38"/>
      <c r="M16" s="38"/>
      <c r="N16" s="2"/>
    </row>
    <row r="18" spans="2:15" x14ac:dyDescent="0.2">
      <c r="E18" s="3">
        <f>Input!A3</f>
        <v>2024</v>
      </c>
      <c r="F18" s="3">
        <f t="shared" ref="F18:N18" si="0">+E18-1</f>
        <v>2023</v>
      </c>
      <c r="G18" s="3">
        <f t="shared" si="0"/>
        <v>2022</v>
      </c>
      <c r="H18" s="3">
        <f t="shared" si="0"/>
        <v>2021</v>
      </c>
      <c r="I18" s="3">
        <f t="shared" si="0"/>
        <v>2020</v>
      </c>
      <c r="J18" s="3">
        <f t="shared" si="0"/>
        <v>2019</v>
      </c>
      <c r="K18" s="3">
        <f t="shared" si="0"/>
        <v>2018</v>
      </c>
      <c r="L18" s="3">
        <f t="shared" si="0"/>
        <v>2017</v>
      </c>
      <c r="M18" s="3">
        <f t="shared" si="0"/>
        <v>2016</v>
      </c>
      <c r="N18" s="3">
        <f t="shared" si="0"/>
        <v>2015</v>
      </c>
      <c r="O18" s="3" t="s">
        <v>16</v>
      </c>
    </row>
    <row r="20" spans="2:15" x14ac:dyDescent="0.2">
      <c r="B20" t="s">
        <v>175</v>
      </c>
      <c r="E20" s="6">
        <f>Input!A14/(Input!A97 + Input!A98)*2</f>
        <v>29.441173233510902</v>
      </c>
      <c r="F20" s="6">
        <f>Input!B14/(Input!B97 + Input!B98)*2</f>
        <v>28.010125222598731</v>
      </c>
      <c r="G20" s="6">
        <f>Input!C14/(Input!C97 + Input!C98)*2</f>
        <v>22.613466727165189</v>
      </c>
      <c r="H20" s="6">
        <f>Input!D14/(Input!D97 + Input!D98)*2</f>
        <v>23.194083962854897</v>
      </c>
      <c r="I20" s="6">
        <f>Input!E14/(Input!E97 + Input!E98)*2</f>
        <v>22.570835705759631</v>
      </c>
      <c r="J20" s="6">
        <f>Input!F14/(Input!F97 + Input!F98)*2</f>
        <v>21.301673929764785</v>
      </c>
      <c r="K20" s="6">
        <f>Input!G14/(Input!G97 + Input!G98)*2</f>
        <v>19.639094752296543</v>
      </c>
      <c r="L20" s="6">
        <f>Input!H14/(Input!H97 + Input!H98)*2</f>
        <v>20.620061212020346</v>
      </c>
      <c r="M20" s="6">
        <f>Input!I14/(Input!I97 + Input!I98)*2</f>
        <v>22.829150419465147</v>
      </c>
      <c r="N20" s="6">
        <f>Input!J14/(Input!J97 + Input!J98)*2</f>
        <v>25.758303110918074</v>
      </c>
      <c r="O20" s="6">
        <f t="shared" ref="O20:O25" si="1">AVERAGE(E20:N20)</f>
        <v>23.597796827635424</v>
      </c>
    </row>
    <row r="21" spans="2:15" x14ac:dyDescent="0.2">
      <c r="B21" t="s">
        <v>81</v>
      </c>
      <c r="E21" s="6">
        <f>Input!A25/Input!A$6</f>
        <v>0.77401182029458393</v>
      </c>
      <c r="F21" s="6">
        <f>Input!B25/Input!B$6</f>
        <v>0.78904228302509427</v>
      </c>
      <c r="G21" s="6">
        <f>Input!C25/Input!C$6</f>
        <v>0.53317500752936453</v>
      </c>
      <c r="H21" s="6">
        <f>Input!D25/Input!D$6</f>
        <v>0.55538382948290621</v>
      </c>
      <c r="I21" s="6">
        <f>Input!E25/Input!E$6</f>
        <v>0.56087547679015548</v>
      </c>
      <c r="J21" s="6">
        <f>Input!F25/Input!F$6</f>
        <v>0.60356362050204604</v>
      </c>
      <c r="K21" s="6">
        <f>Input!G25/Input!G$6</f>
        <v>0.64495640351427275</v>
      </c>
      <c r="L21" s="6">
        <f>Input!H25/Input!H$6</f>
        <v>0.70654936198791141</v>
      </c>
      <c r="M21" s="6">
        <f>Input!I25/Input!I$6</f>
        <v>0.6818607441753447</v>
      </c>
      <c r="N21" s="6">
        <f>Input!J25/Input!J$6</f>
        <v>0.63105038884885822</v>
      </c>
      <c r="O21" s="6">
        <f t="shared" si="1"/>
        <v>0.64804689361505374</v>
      </c>
    </row>
    <row r="22" spans="2:15" x14ac:dyDescent="0.2">
      <c r="B22" t="s">
        <v>82</v>
      </c>
      <c r="E22" s="6">
        <f>Input!A26/Input!A$6</f>
        <v>1.4991447216536098</v>
      </c>
      <c r="F22" s="6">
        <f>Input!B26/Input!B$6</f>
        <v>1.6882972007403476</v>
      </c>
      <c r="G22" s="6">
        <f>Input!C26/Input!C$6</f>
        <v>1.4766244603955425</v>
      </c>
      <c r="H22" s="6">
        <f>Input!D26/Input!D$6</f>
        <v>1.5027425513709565</v>
      </c>
      <c r="I22" s="6">
        <f>Input!E26/Input!E$6</f>
        <v>1.5493935376697141</v>
      </c>
      <c r="J22" s="6">
        <f>Input!F26/Input!F$6</f>
        <v>1.3904843925531971</v>
      </c>
      <c r="K22" s="6">
        <f>Input!G26/Input!G$6</f>
        <v>1.3936814879979116</v>
      </c>
      <c r="L22" s="6">
        <f>Input!H26/Input!H$6</f>
        <v>1.4355722571585567</v>
      </c>
      <c r="M22" s="6">
        <f>Input!I26/Input!I$6</f>
        <v>1.5942986375071746</v>
      </c>
      <c r="N22" s="6">
        <f>Input!J26/Input!J$6</f>
        <v>1.6689199194971054</v>
      </c>
      <c r="O22" s="6">
        <f t="shared" si="1"/>
        <v>1.5199159166544116</v>
      </c>
    </row>
    <row r="23" spans="2:15" x14ac:dyDescent="0.2">
      <c r="B23" t="s">
        <v>83</v>
      </c>
      <c r="E23" s="6">
        <f>Input!A99/Input!A$6</f>
        <v>0.30222969541194034</v>
      </c>
      <c r="F23" s="6">
        <f>Input!B99/Input!B$6</f>
        <v>0.35630859290930744</v>
      </c>
      <c r="G23" s="6">
        <f>Input!C99/Input!C$6</f>
        <v>0.3072562995683164</v>
      </c>
      <c r="H23" s="6">
        <f>Input!D99/Input!D$6</f>
        <v>0.34020382360829088</v>
      </c>
      <c r="I23" s="6">
        <f>Input!E99/Input!E$6</f>
        <v>0.42737186313949921</v>
      </c>
      <c r="J23" s="6">
        <f>Input!F99/Input!F$6</f>
        <v>0.31407971058369427</v>
      </c>
      <c r="K23" s="6">
        <f>Input!G99/Input!G$6</f>
        <v>0.36535861996285529</v>
      </c>
      <c r="L23" s="6">
        <f>Input!H99/Input!H$6</f>
        <v>0.37688601257708043</v>
      </c>
      <c r="M23" s="6">
        <f>Input!I99/Input!I$6</f>
        <v>0.47224763155754151</v>
      </c>
      <c r="N23" s="6">
        <f>Input!J99/Input!J$6</f>
        <v>0.4373968246080453</v>
      </c>
      <c r="O23" s="6">
        <f t="shared" si="1"/>
        <v>0.36993390739265719</v>
      </c>
    </row>
    <row r="24" spans="2:15" x14ac:dyDescent="0.2">
      <c r="B24" t="s">
        <v>84</v>
      </c>
      <c r="E24" s="6">
        <f>Input!A100/Input!A$6</f>
        <v>2.6647989164729968</v>
      </c>
      <c r="F24" s="6">
        <f>Input!B100/Input!B$6</f>
        <v>14.025689197526436</v>
      </c>
      <c r="G24" s="6">
        <f>Input!C100/Input!C$6</f>
        <v>1.294005496436101</v>
      </c>
      <c r="H24" s="6">
        <f>Input!D100/Input!D$6</f>
        <v>2.354044800326935</v>
      </c>
      <c r="I24" s="6">
        <f>Input!E100/Input!E$6</f>
        <v>2.0013507079300168</v>
      </c>
      <c r="J24" s="6">
        <f>Input!F100/Input!F$6</f>
        <v>1.3881826769950132</v>
      </c>
      <c r="K24" s="6">
        <f>Input!G100/Input!G$6</f>
        <v>1.5764197145521679</v>
      </c>
      <c r="L24" s="6">
        <f>Input!H100/Input!H$6</f>
        <v>1.378083521582514</v>
      </c>
      <c r="M24" s="6">
        <f>Input!I100/Input!I$6</f>
        <v>1.1350988412164222</v>
      </c>
      <c r="N24" s="6">
        <f>Input!J100/Input!J$6</f>
        <v>3.4333290680050688</v>
      </c>
      <c r="O24" s="6">
        <f t="shared" si="1"/>
        <v>3.1251002941043664</v>
      </c>
    </row>
    <row r="25" spans="2:15" x14ac:dyDescent="0.2">
      <c r="B25" t="s">
        <v>85</v>
      </c>
      <c r="E25" s="6">
        <f>Input!A101/Input!A$6</f>
        <v>19.109836855309126</v>
      </c>
      <c r="F25" s="6">
        <f>Input!B101/Input!B$6</f>
        <v>25.128555174541226</v>
      </c>
      <c r="G25" s="6">
        <f>Input!C101/Input!C$6</f>
        <v>12.829618512197571</v>
      </c>
      <c r="H25" s="6">
        <f>Input!D101/Input!D$6</f>
        <v>13.984939785193415</v>
      </c>
      <c r="I25" s="6">
        <f>Input!E101/Input!E$6</f>
        <v>13.993282407246474</v>
      </c>
      <c r="J25" s="6">
        <f>Input!F101/Input!F$6</f>
        <v>14.631155872243442</v>
      </c>
      <c r="K25" s="6">
        <f>Input!G101/Input!G$6</f>
        <v>15.759279449128858</v>
      </c>
      <c r="L25" s="6">
        <f>Input!H101/Input!H$6</f>
        <v>17.141345991818792</v>
      </c>
      <c r="M25" s="6">
        <f>Input!I101/Input!I$6</f>
        <v>16.72774795807068</v>
      </c>
      <c r="N25" s="6">
        <f>Input!J101/Input!J$6</f>
        <v>16.479386289661342</v>
      </c>
      <c r="O25" s="6">
        <f t="shared" si="1"/>
        <v>16.578514829541088</v>
      </c>
    </row>
    <row r="26" spans="2:15" x14ac:dyDescent="0.2">
      <c r="O26" s="7"/>
    </row>
    <row r="27" spans="2:15" x14ac:dyDescent="0.2">
      <c r="D27" s="38" t="s">
        <v>170</v>
      </c>
      <c r="E27" s="38"/>
      <c r="F27" s="38"/>
      <c r="G27" s="38"/>
      <c r="H27" s="38"/>
      <c r="I27" s="38"/>
      <c r="J27" s="38"/>
      <c r="K27" s="38"/>
      <c r="L27" s="38"/>
      <c r="M27" s="38"/>
      <c r="O27" s="7"/>
    </row>
    <row r="28" spans="2:15" x14ac:dyDescent="0.2">
      <c r="O28" s="7"/>
    </row>
    <row r="29" spans="2:15" x14ac:dyDescent="0.2">
      <c r="B29" t="s">
        <v>81</v>
      </c>
      <c r="E29" s="6">
        <f>Input!A25/Input!A$5</f>
        <v>0.76196772727272732</v>
      </c>
      <c r="F29" s="6">
        <f>Input!B25/Input!B$5</f>
        <v>0.75749146005509638</v>
      </c>
      <c r="G29" s="6">
        <f>Input!C25/Input!C$5</f>
        <v>0.58522933884297523</v>
      </c>
      <c r="H29" s="6">
        <f>Input!D25/Input!D$5</f>
        <v>0.59901129476584025</v>
      </c>
      <c r="I29" s="6">
        <f>Input!E25/Input!E$5</f>
        <v>0.54891610824742265</v>
      </c>
      <c r="J29" s="6">
        <f>Input!F25/Input!F$5</f>
        <v>0.63850087064676619</v>
      </c>
      <c r="K29" s="6">
        <f>Input!G25/Input!G$5</f>
        <v>0.66838218673218674</v>
      </c>
      <c r="L29" s="6">
        <f>Input!H25/Input!H$5</f>
        <v>0.70221917475728157</v>
      </c>
      <c r="M29" s="6">
        <f>Input!I25/Input!I$5</f>
        <v>0.67301909650924019</v>
      </c>
      <c r="N29" s="6">
        <f>Input!J25/Input!J$5</f>
        <v>0.73938529839883549</v>
      </c>
      <c r="O29" s="6">
        <f>AVERAGE(E29:N29)</f>
        <v>0.66741225562283735</v>
      </c>
    </row>
    <row r="30" spans="2:15" x14ac:dyDescent="0.2">
      <c r="B30" t="s">
        <v>82</v>
      </c>
      <c r="E30" s="6">
        <f>Input!A26/Input!A$5</f>
        <v>1.4758171212121212</v>
      </c>
      <c r="F30" s="6">
        <f>Input!B26/Input!B$5</f>
        <v>1.6207885674931128</v>
      </c>
      <c r="G30" s="6">
        <f>Input!C26/Input!C$5</f>
        <v>1.6207885674931128</v>
      </c>
      <c r="H30" s="6">
        <f>Input!D26/Input!D$5</f>
        <v>1.6207885674931128</v>
      </c>
      <c r="I30" s="6">
        <f>Input!E26/Input!E$5</f>
        <v>1.5163563144329897</v>
      </c>
      <c r="J30" s="6">
        <f>Input!F26/Input!F$5</f>
        <v>1.470972512437811</v>
      </c>
      <c r="K30" s="6">
        <f>Input!G26/Input!G$5</f>
        <v>1.4443020884520885</v>
      </c>
      <c r="L30" s="6">
        <f>Input!H26/Input!H$5</f>
        <v>1.426774150485437</v>
      </c>
      <c r="M30" s="6">
        <f>Input!I26/Input!I$5</f>
        <v>1.5736254620123202</v>
      </c>
      <c r="N30" s="6">
        <f>Input!J26/Input!J$5</f>
        <v>1.9554299854439594</v>
      </c>
      <c r="O30" s="6">
        <f>AVERAGE(E30:N30)</f>
        <v>1.5725643336956066</v>
      </c>
    </row>
    <row r="31" spans="2:15" x14ac:dyDescent="0.2">
      <c r="B31" t="s">
        <v>83</v>
      </c>
      <c r="E31" s="6">
        <f>(Input!A99-Input!A102+Input!A105)/Input!A$5</f>
        <v>0.31706878787878789</v>
      </c>
      <c r="F31" s="6">
        <f>(Input!B99-Input!B102+Input!B105)/Input!B$5</f>
        <v>0.37328994490358125</v>
      </c>
      <c r="G31" s="6">
        <f>(Input!C99-Input!C102+Input!C105)/Input!C$5</f>
        <v>0.31971473829201102</v>
      </c>
      <c r="H31" s="6">
        <f>(Input!D99-Input!D102+Input!D105)/Input!D$5</f>
        <v>0.35144862258953163</v>
      </c>
      <c r="I31" s="6">
        <f>(Input!E99-Input!E102+Input!E105)/Input!E$5</f>
        <v>0.41618582474226801</v>
      </c>
      <c r="J31" s="6">
        <f>(Input!F99-Input!F102+Input!F105)/Input!F$5</f>
        <v>0.35279838308457712</v>
      </c>
      <c r="K31" s="6">
        <f>(Input!G99-Input!G102+Input!G105)/Input!G$5</f>
        <v>0.36752211302211307</v>
      </c>
      <c r="L31" s="6">
        <f>(Input!H99-Input!H102+Input!H105)/Input!H$5</f>
        <v>0.37120643203883502</v>
      </c>
      <c r="M31" s="6">
        <f>(Input!I99-Input!I102+Input!I105)/Input!I$5</f>
        <v>0.47293963039014381</v>
      </c>
      <c r="N31" s="6">
        <f>(Input!J99-Input!J102+Input!J105)/Input!J$5</f>
        <v>0.47312649199417761</v>
      </c>
      <c r="O31" s="6">
        <f>AVERAGE(E31:N31)</f>
        <v>0.38153009689360268</v>
      </c>
    </row>
    <row r="32" spans="2:15" x14ac:dyDescent="0.2">
      <c r="B32" t="s">
        <v>84</v>
      </c>
      <c r="E32" s="6">
        <f>(Input!A100-Input!A103+Input!A106)/Input!A$5</f>
        <v>2.6677533333333332</v>
      </c>
      <c r="F32" s="6">
        <f>(Input!B100-Input!B103+Input!B106)/Input!B$5</f>
        <v>17.464151515151514</v>
      </c>
      <c r="G32" s="6">
        <f>(Input!C100-Input!C103+Input!C106)/Input!C$5</f>
        <v>1.4027455922865013</v>
      </c>
      <c r="H32" s="6">
        <f>(Input!D100-Input!D103+Input!D106)/Input!D$5</f>
        <v>2.4130716253443527</v>
      </c>
      <c r="I32" s="6">
        <f>(Input!E100-Input!E103+Input!E106)/Input!E$5</f>
        <v>1.9997570876288659</v>
      </c>
      <c r="J32" s="6">
        <f>(Input!F100-Input!F103+Input!F106)/Input!F$5</f>
        <v>1.4527232587064678</v>
      </c>
      <c r="K32" s="6">
        <f>(Input!G100-Input!G103+Input!G106)/Input!G$5</f>
        <v>1.6292345208845205</v>
      </c>
      <c r="L32" s="6">
        <f>(Input!H100-Input!H103+Input!H106)/Input!H$5</f>
        <v>1.3794645631067961</v>
      </c>
      <c r="M32" s="6">
        <f>(Input!I100-Input!I103+Input!I106)/Input!I$5</f>
        <v>1.1199355236139632</v>
      </c>
      <c r="N32" s="6">
        <f>(Input!J100-Input!J103+Input!J106)/Input!J$5</f>
        <v>3.9980263464337704</v>
      </c>
      <c r="O32" s="6">
        <f>AVERAGE(E32:N32)</f>
        <v>3.5526863366490082</v>
      </c>
    </row>
    <row r="33" spans="2:15" x14ac:dyDescent="0.2">
      <c r="B33" t="s">
        <v>85</v>
      </c>
      <c r="E33" s="6">
        <f>(Input!A101-Input!A104+Input!A107)/Input!A$5</f>
        <v>22.288048636363637</v>
      </c>
      <c r="F33" s="6">
        <f>(Input!B101-Input!B104+Input!B107)/Input!B$5</f>
        <v>27.947529614325067</v>
      </c>
      <c r="G33" s="6">
        <f>(Input!C101-Input!C104+Input!C107)/Input!C$5</f>
        <v>13.928346143250687</v>
      </c>
      <c r="H33" s="6">
        <f>(Input!D101-Input!D104+Input!D107)/Input!D$5</f>
        <v>14.904221074380164</v>
      </c>
      <c r="I33" s="6">
        <f>(Input!E101-Input!E104+Input!E107)/Input!E$5</f>
        <v>13.727753865979384</v>
      </c>
      <c r="J33" s="6">
        <f>(Input!F101-Input!F104+Input!F107)/Input!F$5</f>
        <v>15.545558706467663</v>
      </c>
      <c r="K33" s="6">
        <f>(Input!G101-Input!G104+Input!G107)/Input!G$5</f>
        <v>15.985635135135135</v>
      </c>
      <c r="L33" s="6">
        <f>(Input!H101-Input!H104+Input!H107)/Input!H$5</f>
        <v>16.479507160194174</v>
      </c>
      <c r="M33" s="6">
        <f>(Input!I101-Input!I104+Input!I107)/Input!I$5</f>
        <v>16.515869815195071</v>
      </c>
      <c r="N33" s="6">
        <f>(Input!J101-Input!J104+Input!J107)/Input!J$5</f>
        <v>19.252684133915572</v>
      </c>
      <c r="O33" s="6">
        <f>AVERAGE(E33:N33)</f>
        <v>17.657515428520657</v>
      </c>
    </row>
  </sheetData>
  <mergeCells count="6">
    <mergeCell ref="D2:M2"/>
    <mergeCell ref="D1:M1"/>
    <mergeCell ref="D27:M27"/>
    <mergeCell ref="D15:M15"/>
    <mergeCell ref="D16:M16"/>
    <mergeCell ref="D14:M14"/>
  </mergeCells>
  <phoneticPr fontId="8" type="noConversion"/>
  <pageMargins left="0.78740157499999996" right="0.78740157499999996" top="0.984251969" bottom="0.984251969" header="0.4921259845" footer="0.4921259845"/>
  <pageSetup paperSize="9" orientation="landscape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O49"/>
  <sheetViews>
    <sheetView workbookViewId="0">
      <selection activeCell="D2" sqref="D2:M2"/>
    </sheetView>
  </sheetViews>
  <sheetFormatPr baseColWidth="10" defaultRowHeight="12.75" x14ac:dyDescent="0.2"/>
  <cols>
    <col min="1" max="1" width="0.85546875" customWidth="1"/>
    <col min="2" max="2" width="10.28515625" customWidth="1"/>
    <col min="3" max="3" width="8.7109375" customWidth="1"/>
    <col min="4" max="4" width="9.7109375" customWidth="1"/>
    <col min="5" max="14" width="8.7109375" customWidth="1"/>
    <col min="15" max="15" width="10.7109375" customWidth="1"/>
  </cols>
  <sheetData>
    <row r="1" spans="1:15" ht="15.75" customHeight="1" x14ac:dyDescent="0.25">
      <c r="A1" t="s">
        <v>48</v>
      </c>
      <c r="C1" s="12">
        <f>Input!A3</f>
        <v>2024</v>
      </c>
      <c r="D1" s="36" t="s">
        <v>279</v>
      </c>
      <c r="E1" s="36"/>
      <c r="F1" s="36"/>
      <c r="G1" s="36"/>
      <c r="H1" s="36"/>
      <c r="I1" s="36"/>
      <c r="J1" s="36"/>
      <c r="K1" s="36"/>
      <c r="L1" s="36"/>
      <c r="M1" s="36"/>
      <c r="O1" s="3" t="s">
        <v>280</v>
      </c>
    </row>
    <row r="2" spans="1:15" ht="15.75" customHeight="1" x14ac:dyDescent="0.2">
      <c r="D2" s="37" t="str">
        <f>Kenndat!D2</f>
        <v>Produktionsgebiet 1: Alpenvorland</v>
      </c>
      <c r="E2" s="37"/>
      <c r="F2" s="37"/>
      <c r="G2" s="37"/>
      <c r="H2" s="37"/>
      <c r="I2" s="37"/>
      <c r="J2" s="37"/>
      <c r="K2" s="37"/>
      <c r="L2" s="37"/>
      <c r="M2" s="37"/>
      <c r="N2" s="5"/>
    </row>
    <row r="3" spans="1:15" ht="15" customHeight="1" x14ac:dyDescent="0.2">
      <c r="D3" s="38" t="s">
        <v>281</v>
      </c>
      <c r="E3" s="38"/>
      <c r="F3" s="38"/>
      <c r="G3" s="38"/>
      <c r="H3" s="38"/>
      <c r="I3" s="38"/>
      <c r="J3" s="38"/>
      <c r="K3" s="38"/>
      <c r="L3" s="38"/>
      <c r="M3" s="38"/>
      <c r="N3" s="2"/>
    </row>
    <row r="4" spans="1:15" ht="3" customHeight="1" x14ac:dyDescent="0.2"/>
    <row r="5" spans="1:15" x14ac:dyDescent="0.2">
      <c r="E5" s="3">
        <f>Input!A3</f>
        <v>2024</v>
      </c>
      <c r="F5" s="3">
        <f t="shared" ref="F5:N5" si="0">+E5-1</f>
        <v>2023</v>
      </c>
      <c r="G5" s="3">
        <f t="shared" si="0"/>
        <v>2022</v>
      </c>
      <c r="H5" s="3">
        <f t="shared" si="0"/>
        <v>2021</v>
      </c>
      <c r="I5" s="3">
        <f t="shared" si="0"/>
        <v>2020</v>
      </c>
      <c r="J5" s="3">
        <f t="shared" si="0"/>
        <v>2019</v>
      </c>
      <c r="K5" s="3">
        <f t="shared" si="0"/>
        <v>2018</v>
      </c>
      <c r="L5" s="3">
        <f t="shared" si="0"/>
        <v>2017</v>
      </c>
      <c r="M5" s="3">
        <f t="shared" si="0"/>
        <v>2016</v>
      </c>
      <c r="N5" s="3">
        <f t="shared" si="0"/>
        <v>2015</v>
      </c>
      <c r="O5" s="3" t="s">
        <v>16</v>
      </c>
    </row>
    <row r="6" spans="1:15" ht="1.5" customHeight="1" x14ac:dyDescent="0.2"/>
    <row r="7" spans="1:15" x14ac:dyDescent="0.2">
      <c r="B7" s="26" t="s">
        <v>282</v>
      </c>
      <c r="E7" s="6">
        <f>Input!A27/Input!A$34</f>
        <v>63.401096735946439</v>
      </c>
      <c r="F7" s="6">
        <f>Input!B27/Input!B$34</f>
        <v>68.804792119035966</v>
      </c>
      <c r="G7" s="6">
        <f>Input!C27/Input!C$34</f>
        <v>66.149945014779419</v>
      </c>
      <c r="H7" s="6">
        <f>Input!D27/Input!D$34</f>
        <v>61.511939347606067</v>
      </c>
      <c r="I7" s="6">
        <f>Input!E27/Input!E$34</f>
        <v>53.193118290809515</v>
      </c>
      <c r="J7" s="6">
        <f>Input!F27/Input!F$34</f>
        <v>54.978002483151407</v>
      </c>
      <c r="K7" s="6">
        <f>Input!G27/Input!G$34</f>
        <v>57.885704399598239</v>
      </c>
      <c r="L7" s="6">
        <f>Input!H27/Input!H$34</f>
        <v>57.828145385538662</v>
      </c>
      <c r="M7" s="6">
        <f>Input!I27/Input!I$34</f>
        <v>60.239543526004532</v>
      </c>
      <c r="N7" s="6">
        <f>Input!J27/Input!J$34</f>
        <v>66.185109384128154</v>
      </c>
      <c r="O7" s="6">
        <f>AVERAGE(E7:N7)</f>
        <v>61.017739668659843</v>
      </c>
    </row>
    <row r="8" spans="1:15" x14ac:dyDescent="0.2">
      <c r="B8" s="26" t="s">
        <v>302</v>
      </c>
      <c r="E8" s="6">
        <f>Input!A125/Input!A$6-(Input!A203+Input!A207)/Input!A34</f>
        <v>36.102767934580498</v>
      </c>
      <c r="F8" s="6">
        <f>Input!B125/Input!B$6-(Input!B203+Input!B207)/Input!B34</f>
        <v>30.715822783093557</v>
      </c>
      <c r="G8" s="6">
        <f>Input!C125/Input!C$6-(Input!C203+Input!C207)/Input!C34</f>
        <v>24.172310385911693</v>
      </c>
      <c r="H8" s="6">
        <f>Input!D125/Input!D$6-(Input!D203+Input!D207)/Input!D34</f>
        <v>25.098933298261535</v>
      </c>
      <c r="I8" s="6">
        <f>Input!E125/Input!E$6-(Input!E203+Input!E207)/Input!E34</f>
        <v>24.607529467972316</v>
      </c>
      <c r="J8" s="6">
        <f>Input!F125/Input!F$6-(Input!F203+Input!F207)/Input!F34</f>
        <v>23.891957037813313</v>
      </c>
      <c r="K8" s="6">
        <f>Input!G125/Input!G$6-(Input!G203+Input!G207)/Input!G34</f>
        <v>24.325657243285374</v>
      </c>
      <c r="L8" s="6">
        <f>Input!H125/Input!H$6-(Input!H203+Input!H207)/Input!H34</f>
        <v>24.85055973930918</v>
      </c>
      <c r="M8" s="6">
        <f>Input!I125/Input!I$6-(Input!I203+Input!I207)/Input!I34</f>
        <v>21.952586747609111</v>
      </c>
      <c r="N8" s="6">
        <f>Input!J125/Input!J$6-(Input!J203+Input!J207)/Input!J34</f>
        <v>24.05497461020072</v>
      </c>
      <c r="O8" s="6">
        <f>AVERAGE(E8:N8)</f>
        <v>25.977309924803727</v>
      </c>
    </row>
    <row r="9" spans="1:15" s="4" customFormat="1" x14ac:dyDescent="0.2">
      <c r="B9" s="27" t="s">
        <v>283</v>
      </c>
      <c r="E9" s="8">
        <f>+E7-E8</f>
        <v>27.29832880136594</v>
      </c>
      <c r="F9" s="8">
        <f t="shared" ref="F9:N9" si="1">+F7-F8</f>
        <v>38.088969335942409</v>
      </c>
      <c r="G9" s="8">
        <f t="shared" si="1"/>
        <v>41.977634628867726</v>
      </c>
      <c r="H9" s="8">
        <f t="shared" si="1"/>
        <v>36.413006049344531</v>
      </c>
      <c r="I9" s="8">
        <f t="shared" si="1"/>
        <v>28.585588822837199</v>
      </c>
      <c r="J9" s="8">
        <f t="shared" si="1"/>
        <v>31.086045445338094</v>
      </c>
      <c r="K9" s="8">
        <f t="shared" si="1"/>
        <v>33.560047156312862</v>
      </c>
      <c r="L9" s="8">
        <f t="shared" si="1"/>
        <v>32.977585646229485</v>
      </c>
      <c r="M9" s="8">
        <f t="shared" si="1"/>
        <v>38.286956778395421</v>
      </c>
      <c r="N9" s="8">
        <f t="shared" si="1"/>
        <v>42.130134773927438</v>
      </c>
      <c r="O9" s="8">
        <f>AVERAGE(E9:N9)</f>
        <v>35.040429743856109</v>
      </c>
    </row>
    <row r="10" spans="1:15" ht="1.9" customHeight="1" x14ac:dyDescent="0.2">
      <c r="B10" s="26"/>
      <c r="E10" s="6"/>
      <c r="F10" s="6"/>
      <c r="G10" s="6"/>
      <c r="H10" s="6"/>
      <c r="I10" s="6"/>
      <c r="J10" s="6"/>
      <c r="K10" s="6"/>
      <c r="L10" s="6"/>
      <c r="M10" s="6"/>
      <c r="N10" s="6"/>
      <c r="O10" s="6"/>
    </row>
    <row r="11" spans="1:15" ht="13.15" customHeight="1" x14ac:dyDescent="0.2">
      <c r="B11" s="26" t="s">
        <v>297</v>
      </c>
      <c r="E11" s="6">
        <f>(Input!A136+Input!A144+Input!A204)/Input!A$34</f>
        <v>0.94845072802772623</v>
      </c>
      <c r="F11" s="6">
        <f>(Input!B136+Input!B144+Input!B204)/Input!B$34</f>
        <v>0.94006773210816075</v>
      </c>
      <c r="G11" s="6">
        <f>(Input!C136+Input!C144+Input!C204)/Input!C$34</f>
        <v>0.98570971818483155</v>
      </c>
      <c r="H11" s="6">
        <f>(Input!D136+Input!D144+Input!D204)/Input!D$34</f>
        <v>0.99601788352361975</v>
      </c>
      <c r="I11" s="6">
        <f>(Input!E136+Input!E144+Input!E204)/Input!E$34</f>
        <v>0.83251745097270613</v>
      </c>
      <c r="J11" s="6">
        <f>(Input!F136+Input!F144+Input!F204)/Input!F$34</f>
        <v>0.71737094262759005</v>
      </c>
      <c r="K11" s="6">
        <f>(Input!G136+Input!G144+Input!G204)/Input!G$34</f>
        <v>0.78255190126008678</v>
      </c>
      <c r="L11" s="6">
        <f>(Input!H136+Input!H144+Input!H204)/Input!H$34</f>
        <v>1.2258400333864963</v>
      </c>
      <c r="M11" s="6">
        <f>(Input!I136+Input!I144+Input!I204)/Input!I$34</f>
        <v>1.0423791259549389</v>
      </c>
      <c r="N11" s="6">
        <f>(Input!J136+Input!J144+Input!J204)/Input!J$34</f>
        <v>1.1475466005053439</v>
      </c>
      <c r="O11" s="6">
        <f>AVERAGE(E11:N11)</f>
        <v>0.96184521165515002</v>
      </c>
    </row>
    <row r="12" spans="1:15" ht="13.15" customHeight="1" x14ac:dyDescent="0.2">
      <c r="B12" s="26" t="s">
        <v>298</v>
      </c>
      <c r="E12" s="6">
        <f>Input!A18/Input!A$6</f>
        <v>4.3384410447416624</v>
      </c>
      <c r="F12" s="6">
        <f>Input!B18/Input!B$6</f>
        <v>4.4158913583081052</v>
      </c>
      <c r="G12" s="6">
        <f>Input!C18/Input!C$6</f>
        <v>2.5918781999799219</v>
      </c>
      <c r="H12" s="6">
        <f>Input!D18/Input!D$6</f>
        <v>2.9618374774912839</v>
      </c>
      <c r="I12" s="6">
        <f>Input!E18/Input!E$6</f>
        <v>2.7627919599038044</v>
      </c>
      <c r="J12" s="6">
        <f>Input!F18/Input!F$6</f>
        <v>1.7015367305104585</v>
      </c>
      <c r="K12" s="6">
        <f>Input!G18/Input!G$6</f>
        <v>2.874409545101229</v>
      </c>
      <c r="L12" s="6">
        <f>Input!H18/Input!H$6</f>
        <v>3.3429898040173396</v>
      </c>
      <c r="M12" s="6">
        <f>Input!I18/Input!I$6</f>
        <v>2.5689275577711896</v>
      </c>
      <c r="N12" s="6">
        <f>Input!J18/Input!J$6</f>
        <v>3.0700729246900393</v>
      </c>
      <c r="O12" s="6">
        <f>AVERAGE(E12:N12)</f>
        <v>3.0628776602515031</v>
      </c>
    </row>
    <row r="13" spans="1:15" ht="13.15" customHeight="1" x14ac:dyDescent="0.2">
      <c r="B13" s="27" t="s">
        <v>313</v>
      </c>
      <c r="E13" s="8">
        <f>+E9+E11-E12</f>
        <v>23.908338484652006</v>
      </c>
      <c r="F13" s="8">
        <f t="shared" ref="F13:N13" si="2">+F9+F11-F12</f>
        <v>34.613145709742469</v>
      </c>
      <c r="G13" s="8">
        <f t="shared" si="2"/>
        <v>40.371466147072631</v>
      </c>
      <c r="H13" s="8">
        <f t="shared" si="2"/>
        <v>34.447186455376865</v>
      </c>
      <c r="I13" s="8">
        <f t="shared" si="2"/>
        <v>26.6553143139061</v>
      </c>
      <c r="J13" s="8">
        <f t="shared" si="2"/>
        <v>30.101879657455225</v>
      </c>
      <c r="K13" s="8">
        <f t="shared" si="2"/>
        <v>31.468189512471717</v>
      </c>
      <c r="L13" s="8">
        <f t="shared" si="2"/>
        <v>30.860435875598643</v>
      </c>
      <c r="M13" s="8">
        <f t="shared" si="2"/>
        <v>36.760408346579169</v>
      </c>
      <c r="N13" s="8">
        <f t="shared" si="2"/>
        <v>40.207608449742743</v>
      </c>
      <c r="O13" s="8">
        <f>AVERAGE(E13:N13)</f>
        <v>32.939397295259759</v>
      </c>
    </row>
    <row r="14" spans="1:15" ht="1.9" customHeight="1" x14ac:dyDescent="0.2">
      <c r="B14" s="26"/>
      <c r="E14" s="6"/>
      <c r="F14" s="6"/>
      <c r="G14" s="6"/>
      <c r="H14" s="6"/>
      <c r="I14" s="6"/>
      <c r="J14" s="6"/>
      <c r="K14" s="6"/>
      <c r="L14" s="6"/>
      <c r="M14" s="6"/>
      <c r="N14" s="6"/>
      <c r="O14" s="6"/>
    </row>
    <row r="15" spans="1:15" x14ac:dyDescent="0.2">
      <c r="B15" s="26" t="s">
        <v>284</v>
      </c>
      <c r="E15" s="6">
        <f>(Input!A129+Input!A202)/Input!A$34</f>
        <v>3.6319817161496606</v>
      </c>
      <c r="F15" s="6">
        <f>(Input!B129+Input!B202)/Input!B$34</f>
        <v>3.8021979449281216</v>
      </c>
      <c r="G15" s="6">
        <f>(Input!C129+Input!C202)/Input!C$34</f>
        <v>3.4147010551972294</v>
      </c>
      <c r="H15" s="6">
        <f>(Input!D129+Input!D202)/Input!D$34</f>
        <v>2.2744309407711452</v>
      </c>
      <c r="I15" s="6">
        <f>(Input!E129+Input!E202)/Input!E$34</f>
        <v>1.5720830479020567</v>
      </c>
      <c r="J15" s="6">
        <f>(Input!F129+Input!F202)/Input!F$34</f>
        <v>1.7175847357977758</v>
      </c>
      <c r="K15" s="6">
        <f>(Input!G129+Input!G202)/Input!G$34</f>
        <v>2.0093669493844604</v>
      </c>
      <c r="L15" s="6">
        <f>(Input!H129+Input!H202)/Input!H$34</f>
        <v>1.1821429045993097</v>
      </c>
      <c r="M15" s="6">
        <f>(Input!I129+Input!I202)/Input!I$34</f>
        <v>0.24005439414613902</v>
      </c>
      <c r="N15" s="6">
        <f>(Input!J129+Input!J202)/Input!J$34</f>
        <v>1.8807572378642445</v>
      </c>
      <c r="O15" s="6">
        <f>AVERAGE(E15:N15)</f>
        <v>2.1725300926740143</v>
      </c>
    </row>
    <row r="16" spans="1:15" x14ac:dyDescent="0.2">
      <c r="B16" s="26" t="s">
        <v>285</v>
      </c>
      <c r="E16" s="6">
        <f>Input!A124/Input!A$6</f>
        <v>16.054731503855447</v>
      </c>
      <c r="F16" s="6">
        <f>Input!B124/Input!B$6</f>
        <v>13.251438799374435</v>
      </c>
      <c r="G16" s="6">
        <f>Input!C124/Input!C$6</f>
        <v>10.851325670113441</v>
      </c>
      <c r="H16" s="6">
        <f>Input!D124/Input!D$6</f>
        <v>12.323230655275022</v>
      </c>
      <c r="I16" s="6">
        <f>Input!E124/Input!E$6</f>
        <v>12.915202456081582</v>
      </c>
      <c r="J16" s="6">
        <f>Input!F124/Input!F$6</f>
        <v>10.837354996446374</v>
      </c>
      <c r="K16" s="6">
        <f>Input!G124/Input!G$6</f>
        <v>11.252264050091178</v>
      </c>
      <c r="L16" s="6">
        <f>Input!H124/Input!H$6</f>
        <v>9.8407360644728001</v>
      </c>
      <c r="M16" s="6">
        <f>Input!I124/Input!I$6</f>
        <v>14.405363719407985</v>
      </c>
      <c r="N16" s="6">
        <f>Input!J124/Input!J$6</f>
        <v>9.0596150023604238</v>
      </c>
      <c r="O16" s="6">
        <f>AVERAGE(E16:N16)</f>
        <v>12.079126291747869</v>
      </c>
    </row>
    <row r="17" spans="2:15" s="4" customFormat="1" x14ac:dyDescent="0.2">
      <c r="B17" s="27" t="s">
        <v>301</v>
      </c>
      <c r="E17" s="8">
        <f>+E13+E15-E16</f>
        <v>11.48558869694622</v>
      </c>
      <c r="F17" s="8">
        <f t="shared" ref="F17:N17" si="3">+F13+F15-F16</f>
        <v>25.16390485529616</v>
      </c>
      <c r="G17" s="8">
        <f t="shared" si="3"/>
        <v>32.934841532156419</v>
      </c>
      <c r="H17" s="8">
        <f t="shared" si="3"/>
        <v>24.39838674087299</v>
      </c>
      <c r="I17" s="8">
        <f t="shared" si="3"/>
        <v>15.312194905726576</v>
      </c>
      <c r="J17" s="8">
        <f t="shared" si="3"/>
        <v>20.982109396806628</v>
      </c>
      <c r="K17" s="8">
        <f t="shared" si="3"/>
        <v>22.225292411764997</v>
      </c>
      <c r="L17" s="8">
        <f t="shared" si="3"/>
        <v>22.201842715725149</v>
      </c>
      <c r="M17" s="8">
        <f t="shared" si="3"/>
        <v>22.595099021317324</v>
      </c>
      <c r="N17" s="8">
        <f t="shared" si="3"/>
        <v>33.028750685246564</v>
      </c>
      <c r="O17" s="8">
        <f>AVERAGE(E17:N17)</f>
        <v>23.032801096185903</v>
      </c>
    </row>
    <row r="18" spans="2:15" ht="1.9" customHeight="1" x14ac:dyDescent="0.2">
      <c r="B18" s="26"/>
      <c r="E18" s="6"/>
      <c r="F18" s="6"/>
      <c r="G18" s="6"/>
      <c r="H18" s="6"/>
      <c r="I18" s="6"/>
      <c r="J18" s="6"/>
      <c r="K18" s="6"/>
      <c r="L18" s="6"/>
      <c r="M18" s="6"/>
      <c r="N18" s="6"/>
      <c r="O18" s="6"/>
    </row>
    <row r="19" spans="2:15" ht="13.15" customHeight="1" x14ac:dyDescent="0.2">
      <c r="B19" s="26" t="s">
        <v>299</v>
      </c>
      <c r="E19" s="6">
        <f>(Input!A137+Input!A139+Input!A205+Input!A208)/Input!A$34</f>
        <v>2.1144092621007116</v>
      </c>
      <c r="F19" s="6">
        <f>(Input!B137+Input!B139+Input!B205+Input!B208)/Input!B$34</f>
        <v>2.884264847127866</v>
      </c>
      <c r="G19" s="6">
        <f>(Input!C137+Input!C139+Input!C205+Input!C208)/Input!C$34</f>
        <v>2.226778414457343</v>
      </c>
      <c r="H19" s="6">
        <f>(Input!D137+Input!D139+Input!D205+Input!D208)/Input!D$34</f>
        <v>2.3222877199052658</v>
      </c>
      <c r="I19" s="6">
        <f>(Input!E137+Input!E139+Input!E205+Input!E208)/Input!E$34</f>
        <v>3.1519844551171365</v>
      </c>
      <c r="J19" s="6">
        <f>(Input!F137+Input!F139+Input!F205+Input!F208)/Input!F$34</f>
        <v>1.8995326256254295</v>
      </c>
      <c r="K19" s="6">
        <f>(Input!G137+Input!G139+Input!G205+Input!G208)/Input!G$34</f>
        <v>3.8885171225443442</v>
      </c>
      <c r="L19" s="6">
        <f>(Input!H137+Input!H139+Input!H205+Input!H208)/Input!H$34</f>
        <v>2.2485309036167171</v>
      </c>
      <c r="M19" s="6">
        <f>(Input!I137+Input!I139+Input!I205+Input!I208)/Input!I$34</f>
        <v>3.77090410641603</v>
      </c>
      <c r="N19" s="6">
        <f>(Input!J137+Input!J139+Input!J205+Input!J208)/Input!J$34</f>
        <v>2.6469675984959062</v>
      </c>
      <c r="O19" s="6">
        <f>AVERAGE(E19:N19)</f>
        <v>2.7154177055406747</v>
      </c>
    </row>
    <row r="20" spans="2:15" ht="13.15" customHeight="1" x14ac:dyDescent="0.2">
      <c r="B20" s="26" t="s">
        <v>300</v>
      </c>
      <c r="E20" s="6">
        <f>(Input!A19+Input!A20)/Input!A$6</f>
        <v>3.1342766995521214</v>
      </c>
      <c r="F20" s="6">
        <f>(Input!B19+Input!B20)/Input!B$6</f>
        <v>4.4190120091252139</v>
      </c>
      <c r="G20" s="6">
        <f>(Input!C19+Input!C20)/Input!C$6</f>
        <v>3.4511311615299669</v>
      </c>
      <c r="H20" s="6">
        <f>(Input!D19+Input!D20)/Input!D$6</f>
        <v>2.5383021084760484</v>
      </c>
      <c r="I20" s="6">
        <f>(Input!E19+Input!E20)/Input!E$6</f>
        <v>3.152076045198811</v>
      </c>
      <c r="J20" s="6">
        <f>(Input!F19+Input!F20)/Input!F$6</f>
        <v>2.7715341850672428</v>
      </c>
      <c r="K20" s="6">
        <f>(Input!G19+Input!G20)/Input!G$6</f>
        <v>2.2458007716529962</v>
      </c>
      <c r="L20" s="6">
        <f>(Input!H19+Input!H20)/Input!H$6</f>
        <v>2.9117457720251538</v>
      </c>
      <c r="M20" s="6">
        <f>(Input!I19+Input!I20)/Input!I$6</f>
        <v>2.5796343593758158</v>
      </c>
      <c r="N20" s="6">
        <f>(Input!J19+Input!J20)/Input!J$6</f>
        <v>7.5343324968320626</v>
      </c>
      <c r="O20" s="6">
        <f>AVERAGE(E20:N20)</f>
        <v>3.4737845608835429</v>
      </c>
    </row>
    <row r="21" spans="2:15" ht="13.15" customHeight="1" x14ac:dyDescent="0.2">
      <c r="B21" s="27" t="s">
        <v>314</v>
      </c>
      <c r="E21" s="8">
        <f>+E17+E19-E20</f>
        <v>10.46572125949481</v>
      </c>
      <c r="F21" s="8">
        <f t="shared" ref="F21:N21" si="4">+F17+F19-F20</f>
        <v>23.629157693298811</v>
      </c>
      <c r="G21" s="8">
        <f t="shared" si="4"/>
        <v>31.710488785083793</v>
      </c>
      <c r="H21" s="8">
        <f t="shared" si="4"/>
        <v>24.182372352302206</v>
      </c>
      <c r="I21" s="8">
        <f t="shared" si="4"/>
        <v>15.312103315644901</v>
      </c>
      <c r="J21" s="8">
        <f t="shared" si="4"/>
        <v>20.110107837364815</v>
      </c>
      <c r="K21" s="8">
        <f t="shared" si="4"/>
        <v>23.868008762656345</v>
      </c>
      <c r="L21" s="8">
        <f t="shared" si="4"/>
        <v>21.538627847316715</v>
      </c>
      <c r="M21" s="8">
        <f t="shared" si="4"/>
        <v>23.786368768357537</v>
      </c>
      <c r="N21" s="8">
        <f t="shared" si="4"/>
        <v>28.141385786910405</v>
      </c>
      <c r="O21" s="8">
        <f>AVERAGE(E21:N21)</f>
        <v>22.274434240843032</v>
      </c>
    </row>
    <row r="22" spans="2:15" ht="1.9" customHeight="1" x14ac:dyDescent="0.2">
      <c r="B22" s="26"/>
      <c r="E22" s="6"/>
      <c r="F22" s="6"/>
      <c r="G22" s="6"/>
      <c r="H22" s="6"/>
      <c r="I22" s="6"/>
      <c r="J22" s="6"/>
      <c r="K22" s="6"/>
      <c r="L22" s="6"/>
      <c r="M22" s="6"/>
      <c r="N22" s="6"/>
      <c r="O22" s="6"/>
    </row>
    <row r="23" spans="2:15" x14ac:dyDescent="0.2">
      <c r="B23" s="26" t="s">
        <v>286</v>
      </c>
      <c r="E23" s="6">
        <f>(Input!A142+Input!A141+Input!A147-Input!A143-Input!A144-Input!A207-Input!A208-SUM(Input!A136:A139)-SUM(Input!A202:'Input'!A205))/Input!A34</f>
        <v>1.3383272798480617</v>
      </c>
      <c r="F23" s="6">
        <f>(Input!B142+Input!B141+Input!B147-Input!B143-Input!B144-Input!B207-Input!B208-SUM(Input!B136:B139)-SUM(Input!B202:'Input'!B205))/Input!B34</f>
        <v>2.3420628406003554</v>
      </c>
      <c r="G23" s="6">
        <f>(Input!C142+Input!C141+Input!C147-Input!C143-Input!C144-Input!C207-Input!C208-SUM(Input!C136:C139)-SUM(Input!C202:'Input'!C205))/Input!C34</f>
        <v>0.4981942520614534</v>
      </c>
      <c r="H23" s="6">
        <f>(Input!D142+Input!D141+Input!D147-Input!D143-Input!D144-Input!D207-Input!D208-SUM(Input!D136:D139)-SUM(Input!D202:'Input'!D205))/Input!D34</f>
        <v>0.70666810255675505</v>
      </c>
      <c r="I23" s="6">
        <f>(Input!E142+Input!E141+Input!E147-Input!E143-Input!E144-Input!E207-Input!E208-SUM(Input!E136:E139)-SUM(Input!E202:'Input'!E205))/Input!E34</f>
        <v>1.2374554276118273</v>
      </c>
      <c r="J23" s="6">
        <f>(Input!F142+Input!F141+Input!F147-Input!F143-Input!F144-Input!F207-Input!F208-SUM(Input!F136:F139)-SUM(Input!F202:'Input'!F205))/Input!F34</f>
        <v>0.64308490491942616</v>
      </c>
      <c r="K23" s="6">
        <f>(Input!G142+Input!G141+Input!G147-Input!G143-Input!G144-Input!G207-Input!G208-SUM(Input!G136:G139)-SUM(Input!G202:'Input'!G205))/Input!G34</f>
        <v>0.64930976648466598</v>
      </c>
      <c r="L23" s="6">
        <f>(Input!H142+Input!H141+Input!H147-Input!H143-Input!H144-Input!H207-Input!H208-SUM(Input!H136:H139)-SUM(Input!H202:'Input'!H205))/Input!H34</f>
        <v>0.50375615722273936</v>
      </c>
      <c r="M23" s="6">
        <f>(Input!I142+Input!I141+Input!I147-Input!I143-Input!I144-Input!I207-Input!I208-SUM(Input!I136:I139)-SUM(Input!I202:'Input'!I205))/Input!I34</f>
        <v>0.61791124302438716</v>
      </c>
      <c r="N23" s="6">
        <f>(Input!J142+Input!J141+Input!J147-Input!J143-Input!J144-Input!J207-Input!J208-SUM(Input!J136:J139)-SUM(Input!J202:'Input'!J205))/Input!J34</f>
        <v>0.29326157868368313</v>
      </c>
      <c r="O23" s="6">
        <f>AVERAGE(E23:N23)</f>
        <v>0.88300315530133555</v>
      </c>
    </row>
    <row r="24" spans="2:15" x14ac:dyDescent="0.2">
      <c r="B24" s="26" t="s">
        <v>287</v>
      </c>
      <c r="E24" s="6">
        <f>Input!A127/Input!A$6</f>
        <v>15.981337324734891</v>
      </c>
      <c r="F24" s="6">
        <f>Input!B127/Input!B$6</f>
        <v>19.690320386817223</v>
      </c>
      <c r="G24" s="6">
        <f>Input!C127/Input!C$6</f>
        <v>16.250395417126796</v>
      </c>
      <c r="H24" s="6">
        <f>Input!D127/Input!D$6</f>
        <v>16.565759294024492</v>
      </c>
      <c r="I24" s="6">
        <f>Input!E127/Input!E$6</f>
        <v>16.374960892936713</v>
      </c>
      <c r="J24" s="6">
        <f>Input!F127/Input!F$6</f>
        <v>14.548214750755255</v>
      </c>
      <c r="K24" s="6">
        <f>Input!G127/Input!G$6</f>
        <v>14.821026981063833</v>
      </c>
      <c r="L24" s="6">
        <f>Input!H127/Input!H$6</f>
        <v>14.969171622199157</v>
      </c>
      <c r="M24" s="6">
        <f>Input!I127/Input!I$6</f>
        <v>14.173422059473031</v>
      </c>
      <c r="N24" s="6">
        <f>Input!J127/Input!J$6</f>
        <v>13.460638681143935</v>
      </c>
      <c r="O24" s="16">
        <f>AVERAGE(E24:N24)</f>
        <v>15.683524741027535</v>
      </c>
    </row>
    <row r="25" spans="2:15" s="4" customFormat="1" x14ac:dyDescent="0.2">
      <c r="B25" s="27" t="s">
        <v>288</v>
      </c>
      <c r="E25" s="8">
        <f>+E21+E23-E24</f>
        <v>-4.1772887853920189</v>
      </c>
      <c r="F25" s="8">
        <f t="shared" ref="F25:N25" si="5">+F21+F23-F24</f>
        <v>6.2809001470819439</v>
      </c>
      <c r="G25" s="8">
        <f t="shared" si="5"/>
        <v>15.958287620018453</v>
      </c>
      <c r="H25" s="8">
        <f t="shared" si="5"/>
        <v>8.323281160834469</v>
      </c>
      <c r="I25" s="8">
        <f t="shared" si="5"/>
        <v>0.17459785032001562</v>
      </c>
      <c r="J25" s="8">
        <f t="shared" si="5"/>
        <v>6.2049779915289864</v>
      </c>
      <c r="K25" s="8">
        <f t="shared" si="5"/>
        <v>9.6962915480771787</v>
      </c>
      <c r="L25" s="8">
        <f t="shared" si="5"/>
        <v>7.0732123823402961</v>
      </c>
      <c r="M25" s="8">
        <f t="shared" si="5"/>
        <v>10.230857951908893</v>
      </c>
      <c r="N25" s="8">
        <f t="shared" si="5"/>
        <v>14.974008684450153</v>
      </c>
      <c r="O25" s="8">
        <f>AVERAGE(E25:N25)</f>
        <v>7.4739126551168367</v>
      </c>
    </row>
    <row r="26" spans="2:15" ht="6" customHeight="1" x14ac:dyDescent="0.2">
      <c r="E26" s="6"/>
      <c r="F26" s="6"/>
      <c r="G26" s="6"/>
      <c r="H26" s="6"/>
      <c r="I26" s="6"/>
      <c r="J26" s="6"/>
      <c r="K26" s="6"/>
      <c r="L26" s="6"/>
      <c r="M26" s="6"/>
      <c r="N26" s="6"/>
      <c r="O26" s="6"/>
    </row>
    <row r="27" spans="2:15" ht="15" customHeight="1" x14ac:dyDescent="0.2">
      <c r="D27" s="38" t="s">
        <v>289</v>
      </c>
      <c r="E27" s="38"/>
      <c r="F27" s="38"/>
      <c r="G27" s="38"/>
      <c r="H27" s="38"/>
      <c r="I27" s="38"/>
      <c r="J27" s="38"/>
      <c r="K27" s="38"/>
      <c r="L27" s="38"/>
      <c r="M27" s="38"/>
      <c r="N27" s="2"/>
    </row>
    <row r="28" spans="2:15" ht="3" customHeight="1" x14ac:dyDescent="0.2"/>
    <row r="29" spans="2:15" x14ac:dyDescent="0.2">
      <c r="E29" s="3">
        <f>Input!A3</f>
        <v>2024</v>
      </c>
      <c r="F29" s="3">
        <f t="shared" ref="F29:N29" si="6">+E29-1</f>
        <v>2023</v>
      </c>
      <c r="G29" s="3">
        <f t="shared" si="6"/>
        <v>2022</v>
      </c>
      <c r="H29" s="3">
        <f t="shared" si="6"/>
        <v>2021</v>
      </c>
      <c r="I29" s="3">
        <f t="shared" si="6"/>
        <v>2020</v>
      </c>
      <c r="J29" s="3">
        <f t="shared" si="6"/>
        <v>2019</v>
      </c>
      <c r="K29" s="3">
        <f t="shared" si="6"/>
        <v>2018</v>
      </c>
      <c r="L29" s="3">
        <f t="shared" si="6"/>
        <v>2017</v>
      </c>
      <c r="M29" s="3">
        <f t="shared" si="6"/>
        <v>2016</v>
      </c>
      <c r="N29" s="3">
        <f t="shared" si="6"/>
        <v>2015</v>
      </c>
      <c r="O29" s="3" t="s">
        <v>16</v>
      </c>
    </row>
    <row r="30" spans="2:15" ht="1.5" customHeight="1" x14ac:dyDescent="0.2"/>
    <row r="31" spans="2:15" x14ac:dyDescent="0.2">
      <c r="B31" s="26" t="s">
        <v>282</v>
      </c>
      <c r="E31" s="6">
        <f>Input!A35/Input!A36</f>
        <v>65.070670181117237</v>
      </c>
      <c r="F31" s="6">
        <f>Input!B35/Input!B36</f>
        <v>69.720524291323287</v>
      </c>
      <c r="G31" s="6">
        <f>Input!C35/Input!C36</f>
        <v>66.712963658698968</v>
      </c>
      <c r="H31" s="6">
        <f>Input!D35/Input!D36</f>
        <v>61.364276927398443</v>
      </c>
      <c r="I31" s="6">
        <f>Input!E35/Input!E36</f>
        <v>53.392053986037808</v>
      </c>
      <c r="J31" s="6">
        <f>Input!F35/Input!F36</f>
        <v>55.080094711248002</v>
      </c>
      <c r="K31" s="6">
        <f>Input!G35/Input!G36</f>
        <v>57.932850818764045</v>
      </c>
      <c r="L31" s="6">
        <f>Input!H35/Input!H36</f>
        <v>57.774721429869331</v>
      </c>
      <c r="M31" s="6">
        <f>Input!I35/Input!I36</f>
        <v>60.2342233915438</v>
      </c>
      <c r="N31" s="6">
        <f>Input!J35/Input!J36</f>
        <v>64.255715130645882</v>
      </c>
      <c r="O31" s="6">
        <f>AVERAGE(E31:N31)</f>
        <v>61.153809452664674</v>
      </c>
    </row>
    <row r="32" spans="2:15" x14ac:dyDescent="0.2">
      <c r="B32" s="26" t="s">
        <v>302</v>
      </c>
      <c r="E32" s="6">
        <f>Input!A131/Input!A$5-Input!A209/Input!A36</f>
        <v>35.347666330848114</v>
      </c>
      <c r="F32" s="6">
        <f>Input!B131/Input!B$5-Input!B209/Input!B36</f>
        <v>31.536260654705007</v>
      </c>
      <c r="G32" s="6">
        <f>Input!C131/Input!C$5-Input!C209/Input!C36</f>
        <v>24.045223337939071</v>
      </c>
      <c r="H32" s="6">
        <f>Input!D131/Input!D$5-Input!D209/Input!D36</f>
        <v>24.812728146546437</v>
      </c>
      <c r="I32" s="6">
        <f>Input!E131/Input!E$5-Input!E209/Input!E36</f>
        <v>24.594153243906518</v>
      </c>
      <c r="J32" s="6">
        <f>Input!F131/Input!F$5-Input!F209/Input!F36</f>
        <v>24.744201327706079</v>
      </c>
      <c r="K32" s="6">
        <f>Input!G131/Input!G$5-Input!G209/Input!G36</f>
        <v>24.233154968882651</v>
      </c>
      <c r="L32" s="6">
        <f>Input!H131/Input!H$5-Input!H209/Input!H36</f>
        <v>24.605754108918415</v>
      </c>
      <c r="M32" s="6">
        <f>Input!I131/Input!I$5-Input!I209/Input!I36</f>
        <v>21.992394365222328</v>
      </c>
      <c r="N32" s="6">
        <f>Input!J131/Input!J$5-Input!J209/Input!J36</f>
        <v>23.745239234806284</v>
      </c>
      <c r="O32" s="6">
        <f>AVERAGE(E32:N32)</f>
        <v>25.965677571948088</v>
      </c>
    </row>
    <row r="33" spans="2:15" s="4" customFormat="1" x14ac:dyDescent="0.2">
      <c r="B33" s="27" t="s">
        <v>283</v>
      </c>
      <c r="E33" s="8">
        <f>+E31-E32</f>
        <v>29.723003850269123</v>
      </c>
      <c r="F33" s="8">
        <f t="shared" ref="F33:N33" si="7">+F31-F32</f>
        <v>38.184263636618283</v>
      </c>
      <c r="G33" s="8">
        <f t="shared" si="7"/>
        <v>42.667740320759897</v>
      </c>
      <c r="H33" s="8">
        <f t="shared" si="7"/>
        <v>36.551548780852002</v>
      </c>
      <c r="I33" s="8">
        <f t="shared" si="7"/>
        <v>28.79790074213129</v>
      </c>
      <c r="J33" s="8">
        <f t="shared" si="7"/>
        <v>30.335893383541922</v>
      </c>
      <c r="K33" s="8">
        <f t="shared" si="7"/>
        <v>33.699695849881394</v>
      </c>
      <c r="L33" s="8">
        <f t="shared" si="7"/>
        <v>33.168967320950912</v>
      </c>
      <c r="M33" s="8">
        <f t="shared" si="7"/>
        <v>38.241829026321469</v>
      </c>
      <c r="N33" s="8">
        <f t="shared" si="7"/>
        <v>40.510475895839598</v>
      </c>
      <c r="O33" s="8">
        <f>AVERAGE(E33:N33)</f>
        <v>35.188131880716583</v>
      </c>
    </row>
    <row r="34" spans="2:15" ht="1.9" customHeight="1" x14ac:dyDescent="0.2">
      <c r="B34" s="26"/>
      <c r="E34" s="6"/>
      <c r="F34" s="6"/>
      <c r="G34" s="6"/>
      <c r="H34" s="6"/>
      <c r="I34" s="6"/>
      <c r="J34" s="6"/>
      <c r="K34" s="6"/>
      <c r="L34" s="6"/>
      <c r="M34" s="6"/>
      <c r="N34" s="6"/>
      <c r="O34" s="6"/>
    </row>
    <row r="35" spans="2:15" ht="13.15" customHeight="1" x14ac:dyDescent="0.2">
      <c r="B35" s="26" t="s">
        <v>297</v>
      </c>
      <c r="E35" s="6">
        <f>(Input!A136+Input!A144+Input!A204)/Input!A5*Input!A6/Input!A34</f>
        <v>0.9336922598809918</v>
      </c>
      <c r="F35" s="6">
        <f>(Input!B136+Input!B144+Input!B204)/Input!B5*Input!B6/Input!B34</f>
        <v>0.9024779714151856</v>
      </c>
      <c r="G35" s="6">
        <f>(Input!C136+Input!C144+Input!C204)/Input!C5*Input!C6/Input!C34</f>
        <v>1.0819453997618851</v>
      </c>
      <c r="H35" s="6">
        <f>(Input!D136+Input!D144+Input!D204)/Input!D5*Input!D6/Input!D34</f>
        <v>1.0742587924731404</v>
      </c>
      <c r="I35" s="6">
        <f>(Input!E136+Input!E144+Input!E204)/Input!E5*Input!E6/Input!E34</f>
        <v>0.81476594742789332</v>
      </c>
      <c r="J35" s="6">
        <f>(Input!F136+Input!F144+Input!F204)/Input!F5*Input!F6/Input!F34</f>
        <v>0.75889592395149152</v>
      </c>
      <c r="K35" s="6">
        <f>(Input!G136+Input!G144+Input!G204)/Input!G5*Input!G6/Input!G34</f>
        <v>0.81097535918033903</v>
      </c>
      <c r="L35" s="6">
        <f>(Input!H136+Input!H144+Input!H204)/Input!H5*Input!H6/Input!H34</f>
        <v>1.2183273001721737</v>
      </c>
      <c r="M35" s="6">
        <f>(Input!I136+Input!I144+Input!I204)/Input!I5*Input!I6/Input!I34</f>
        <v>1.0288626579005389</v>
      </c>
      <c r="N35" s="6">
        <f>(Input!J136+Input!J144+Input!J204)/Input!J5*Input!J6/Input!J34</f>
        <v>1.3445504521263048</v>
      </c>
      <c r="O35" s="6">
        <f>AVERAGE(E35:N35)</f>
        <v>0.9968752064289943</v>
      </c>
    </row>
    <row r="36" spans="2:15" ht="13.15" customHeight="1" x14ac:dyDescent="0.2">
      <c r="B36" s="26" t="s">
        <v>298</v>
      </c>
      <c r="E36" s="6">
        <f>Input!A18/Input!A5</f>
        <v>4.2709322727272729</v>
      </c>
      <c r="F36" s="6">
        <f>Input!B18/Input!B5</f>
        <v>4.2393165289256203</v>
      </c>
      <c r="G36" s="6">
        <f>Input!C18/Input!C5</f>
        <v>2.844925482093664</v>
      </c>
      <c r="H36" s="6">
        <f>Input!D18/Input!D5</f>
        <v>3.1945008264462813</v>
      </c>
      <c r="I36" s="6">
        <f>Input!E18/Input!E5</f>
        <v>2.7038818298969072</v>
      </c>
      <c r="J36" s="6">
        <f>Input!F18/Input!F5</f>
        <v>1.8000300995024878</v>
      </c>
      <c r="K36" s="6">
        <f>Input!G18/Input!G5</f>
        <v>2.9788124078624079</v>
      </c>
      <c r="L36" s="6">
        <f>Input!H18/Input!H5</f>
        <v>3.3225018203883496</v>
      </c>
      <c r="M36" s="6">
        <f>Input!I18/Input!I5</f>
        <v>2.5356164271047228</v>
      </c>
      <c r="N36" s="6">
        <f>Input!J18/Input!J5</f>
        <v>3.5971244541484717</v>
      </c>
      <c r="O36" s="6">
        <f>AVERAGE(E36:N36)</f>
        <v>3.1487642149096184</v>
      </c>
    </row>
    <row r="37" spans="2:15" ht="13.15" customHeight="1" x14ac:dyDescent="0.2">
      <c r="B37" s="27" t="s">
        <v>313</v>
      </c>
      <c r="E37" s="8">
        <f>+E33+E35-E36</f>
        <v>26.385763837422843</v>
      </c>
      <c r="F37" s="8">
        <f t="shared" ref="F37:N37" si="8">+F33+F35-F36</f>
        <v>34.84742507910785</v>
      </c>
      <c r="G37" s="8">
        <f t="shared" si="8"/>
        <v>40.904760238428118</v>
      </c>
      <c r="H37" s="8">
        <f t="shared" si="8"/>
        <v>34.43130674687886</v>
      </c>
      <c r="I37" s="8">
        <f t="shared" si="8"/>
        <v>26.908784859662276</v>
      </c>
      <c r="J37" s="8">
        <f t="shared" si="8"/>
        <v>29.294759207990925</v>
      </c>
      <c r="K37" s="8">
        <f t="shared" si="8"/>
        <v>31.531858801199327</v>
      </c>
      <c r="L37" s="8">
        <f t="shared" si="8"/>
        <v>31.06479280073474</v>
      </c>
      <c r="M37" s="8">
        <f t="shared" si="8"/>
        <v>36.735075257117288</v>
      </c>
      <c r="N37" s="8">
        <f t="shared" si="8"/>
        <v>38.257901893817433</v>
      </c>
      <c r="O37" s="8">
        <f>AVERAGE(E37:N37)</f>
        <v>33.03624287223596</v>
      </c>
    </row>
    <row r="38" spans="2:15" ht="1.9" customHeight="1" x14ac:dyDescent="0.2">
      <c r="B38" s="26"/>
      <c r="E38" s="6"/>
      <c r="F38" s="6"/>
      <c r="G38" s="6"/>
      <c r="H38" s="6"/>
      <c r="I38" s="6"/>
      <c r="J38" s="6"/>
      <c r="K38" s="6"/>
      <c r="L38" s="6"/>
      <c r="M38" s="6"/>
      <c r="N38" s="6"/>
      <c r="O38" s="6"/>
    </row>
    <row r="39" spans="2:15" x14ac:dyDescent="0.2">
      <c r="B39" s="26" t="s">
        <v>284</v>
      </c>
      <c r="E39" s="6">
        <f>(Input!A129+Input!A202)/Input!A5*Input!A6/Input!A34</f>
        <v>3.5754658794453311</v>
      </c>
      <c r="F39" s="6">
        <f>(Input!B129+Input!B202)/Input!B5*Input!B6/Input!B34</f>
        <v>3.6501623990035168</v>
      </c>
      <c r="G39" s="6">
        <f>(Input!C129+Input!C202)/Input!C5*Input!C6/Input!C34</f>
        <v>3.7480812353520223</v>
      </c>
      <c r="H39" s="6">
        <f>(Input!D129+Input!D202)/Input!D5*Input!D6/Input!D34</f>
        <v>2.4530959497961842</v>
      </c>
      <c r="I39" s="6">
        <f>(Input!E129+Input!E202)/Input!E5*Input!E6/Input!E34</f>
        <v>1.5385620234899349</v>
      </c>
      <c r="J39" s="6">
        <f>(Input!F129+Input!F202)/Input!F5*Input!F6/Input!F34</f>
        <v>1.8170070427774534</v>
      </c>
      <c r="K39" s="6">
        <f>(Input!G129+Input!G202)/Input!G5*Input!G6/Input!G34</f>
        <v>2.0823501685680186</v>
      </c>
      <c r="L39" s="6">
        <f>(Input!H129+Input!H202)/Input!H5*Input!H6/Input!H34</f>
        <v>1.1748979753902968</v>
      </c>
      <c r="M39" s="6">
        <f>(Input!I129+Input!I202)/Input!I5*Input!I6/Input!I34</f>
        <v>0.23694162311206624</v>
      </c>
      <c r="N39" s="6">
        <f>(Input!J129+Input!J202)/Input!J5*Input!J6/Input!J34</f>
        <v>2.2036342518871108</v>
      </c>
      <c r="O39" s="6">
        <f>AVERAGE(E39:N39)</f>
        <v>2.2480198548821937</v>
      </c>
    </row>
    <row r="40" spans="2:15" x14ac:dyDescent="0.2">
      <c r="B40" s="26" t="s">
        <v>285</v>
      </c>
      <c r="E40" s="6">
        <f>Input!A124/Input!A5</f>
        <v>15.80491015151515</v>
      </c>
      <c r="F40" s="6">
        <f>Input!B124/Input!B5</f>
        <v>12.721563774104684</v>
      </c>
      <c r="G40" s="6">
        <f>Input!C124/Input!C5</f>
        <v>11.910749862258953</v>
      </c>
      <c r="H40" s="6">
        <f>Input!D124/Input!D5</f>
        <v>13.291266253443528</v>
      </c>
      <c r="I40" s="6">
        <f>Input!E124/Input!E5</f>
        <v>12.639815721649484</v>
      </c>
      <c r="J40" s="6">
        <f>Input!F124/Input!F5</f>
        <v>11.464674751243781</v>
      </c>
      <c r="K40" s="6">
        <f>Input!G124/Input!G5</f>
        <v>11.660963144963146</v>
      </c>
      <c r="L40" s="6">
        <f>Input!H124/Input!H5</f>
        <v>9.7804257281553397</v>
      </c>
      <c r="M40" s="6">
        <f>Input!I124/Input!I5</f>
        <v>14.218570225872689</v>
      </c>
      <c r="N40" s="6">
        <f>Input!J124/Input!J5</f>
        <v>10.614914847161572</v>
      </c>
      <c r="O40" s="6">
        <f>AVERAGE(E40:N40)</f>
        <v>12.410785446036831</v>
      </c>
    </row>
    <row r="41" spans="2:15" s="4" customFormat="1" x14ac:dyDescent="0.2">
      <c r="B41" s="27" t="s">
        <v>301</v>
      </c>
      <c r="E41" s="8">
        <f>+E37+E39-E40</f>
        <v>14.156319565353025</v>
      </c>
      <c r="F41" s="8">
        <f t="shared" ref="F41:N41" si="9">+F37+F39-F40</f>
        <v>25.776023704006686</v>
      </c>
      <c r="G41" s="8">
        <f t="shared" si="9"/>
        <v>32.74209161152119</v>
      </c>
      <c r="H41" s="8">
        <f t="shared" si="9"/>
        <v>23.593136443231518</v>
      </c>
      <c r="I41" s="8">
        <f t="shared" si="9"/>
        <v>15.807531161502727</v>
      </c>
      <c r="J41" s="8">
        <f t="shared" si="9"/>
        <v>19.647091499524599</v>
      </c>
      <c r="K41" s="8">
        <f t="shared" si="9"/>
        <v>21.953245824804199</v>
      </c>
      <c r="L41" s="8">
        <f t="shared" si="9"/>
        <v>22.459265047969698</v>
      </c>
      <c r="M41" s="8">
        <f t="shared" si="9"/>
        <v>22.753446654356665</v>
      </c>
      <c r="N41" s="8">
        <f t="shared" si="9"/>
        <v>29.846621298542971</v>
      </c>
      <c r="O41" s="8">
        <f>AVERAGE(E41:N41)</f>
        <v>22.873477281081328</v>
      </c>
    </row>
    <row r="42" spans="2:15" ht="1.9" customHeight="1" x14ac:dyDescent="0.2">
      <c r="B42" s="26"/>
      <c r="E42" s="6"/>
      <c r="F42" s="6"/>
      <c r="G42" s="6"/>
      <c r="H42" s="6"/>
      <c r="I42" s="6"/>
      <c r="J42" s="6"/>
      <c r="K42" s="6"/>
      <c r="L42" s="6"/>
      <c r="M42" s="6"/>
      <c r="N42" s="6"/>
      <c r="O42" s="6"/>
    </row>
    <row r="43" spans="2:15" ht="13.15" customHeight="1" x14ac:dyDescent="0.2">
      <c r="B43" s="26" t="s">
        <v>299</v>
      </c>
      <c r="E43" s="6">
        <f>(Input!A137+Input!A139+Input!A205+Input!A208)/Input!A5*Input!A6/Input!A34</f>
        <v>2.0815077725222655</v>
      </c>
      <c r="F43" s="6">
        <f>(Input!B137+Input!B139+Input!B205+Input!B208)/Input!B5*Input!B6/Input!B34</f>
        <v>2.7689339814086895</v>
      </c>
      <c r="G43" s="6">
        <f>(Input!C137+Input!C139+Input!C205+Input!C208)/Input!C5*Input!C6/Input!C34</f>
        <v>2.4441806927173109</v>
      </c>
      <c r="H43" s="6">
        <f>(Input!D137+Input!D139+Input!D205+Input!D208)/Input!D5*Input!D6/Input!D34</f>
        <v>2.5047120569110475</v>
      </c>
      <c r="I43" s="6">
        <f>(Input!E137+Input!E139+Input!E205+Input!E208)/Input!E5*Input!E6/Input!E34</f>
        <v>3.0847756979159122</v>
      </c>
      <c r="J43" s="6">
        <f>(Input!F137+Input!F139+Input!F205+Input!F208)/Input!F5*Input!F6/Input!F34</f>
        <v>2.0094869771556465</v>
      </c>
      <c r="K43" s="6">
        <f>(Input!G137+Input!G139+Input!G205+Input!G208)/Input!G5*Input!G6/Input!G34</f>
        <v>4.0297538924337903</v>
      </c>
      <c r="L43" s="6">
        <f>(Input!H137+Input!H139+Input!H205+Input!H208)/Input!H5*Input!H6/Input!H34</f>
        <v>2.234750465433144</v>
      </c>
      <c r="M43" s="6">
        <f>(Input!I137+Input!I139+Input!I205+Input!I208)/Input!I5*Input!I6/Input!I34</f>
        <v>3.7220070174188917</v>
      </c>
      <c r="N43" s="6">
        <f>(Input!J137+Input!J139+Input!J205+Input!J208)/Input!J5*Input!J6/Input!J34</f>
        <v>3.1013829675884925</v>
      </c>
      <c r="O43" s="6">
        <f>AVERAGE(E43:N43)</f>
        <v>2.7981491521505193</v>
      </c>
    </row>
    <row r="44" spans="2:15" ht="13.15" customHeight="1" x14ac:dyDescent="0.2">
      <c r="B44" s="26" t="s">
        <v>300</v>
      </c>
      <c r="E44" s="6">
        <f>(Input!A19+Input!A20)/Input!A5</f>
        <v>3.0855054545454546</v>
      </c>
      <c r="F44" s="6">
        <f>(Input!B19+Input!B20)/Input!B5</f>
        <v>4.2423123966942153</v>
      </c>
      <c r="G44" s="6">
        <f>(Input!C19+Input!C20)/Input!C5</f>
        <v>3.7880680440771348</v>
      </c>
      <c r="H44" s="6">
        <f>(Input!D19+Input!D20)/Input!D5</f>
        <v>2.737695179063361</v>
      </c>
      <c r="I44" s="6">
        <f>(Input!E19+Input!E20)/Input!E5</f>
        <v>3.0848653350515463</v>
      </c>
      <c r="J44" s="6">
        <f>(Input!F19+Input!F20)/Input!F5</f>
        <v>2.9319643034825869</v>
      </c>
      <c r="K44" s="6">
        <f>(Input!G19+Input!G20)/Input!G5</f>
        <v>2.3273716216216216</v>
      </c>
      <c r="L44" s="6">
        <f>(Input!H19+Input!H20)/Input!H5</f>
        <v>2.8939007281553395</v>
      </c>
      <c r="M44" s="6">
        <f>(Input!I19+Input!I20)/Input!I5</f>
        <v>2.5461843942505133</v>
      </c>
      <c r="N44" s="6">
        <f>(Input!J19+Input!J20)/Input!J5</f>
        <v>8.8277810771470175</v>
      </c>
      <c r="O44" s="6">
        <f>AVERAGE(E44:N44)</f>
        <v>3.6465648534088793</v>
      </c>
    </row>
    <row r="45" spans="2:15" ht="13.15" customHeight="1" x14ac:dyDescent="0.2">
      <c r="B45" s="27" t="s">
        <v>314</v>
      </c>
      <c r="E45" s="8">
        <f>+E41+E43-E44</f>
        <v>13.152321883329837</v>
      </c>
      <c r="F45" s="8">
        <f t="shared" ref="F45:N45" si="10">+F41+F43-F44</f>
        <v>24.302645288721159</v>
      </c>
      <c r="G45" s="8">
        <f t="shared" si="10"/>
        <v>31.398204260161364</v>
      </c>
      <c r="H45" s="8">
        <f t="shared" si="10"/>
        <v>23.360153321079203</v>
      </c>
      <c r="I45" s="8">
        <f t="shared" si="10"/>
        <v>15.807441524367093</v>
      </c>
      <c r="J45" s="8">
        <f t="shared" si="10"/>
        <v>18.724614173197658</v>
      </c>
      <c r="K45" s="8">
        <f t="shared" si="10"/>
        <v>23.655628095616365</v>
      </c>
      <c r="L45" s="8">
        <f t="shared" si="10"/>
        <v>21.800114785247501</v>
      </c>
      <c r="M45" s="8">
        <f t="shared" si="10"/>
        <v>23.929269277525044</v>
      </c>
      <c r="N45" s="8">
        <f t="shared" si="10"/>
        <v>24.120223188984447</v>
      </c>
      <c r="O45" s="8">
        <f>AVERAGE(E45:N45)</f>
        <v>22.025061579822967</v>
      </c>
    </row>
    <row r="46" spans="2:15" ht="1.9" customHeight="1" x14ac:dyDescent="0.2">
      <c r="B46" s="26"/>
      <c r="E46" s="6"/>
      <c r="F46" s="6"/>
      <c r="G46" s="6"/>
      <c r="H46" s="6"/>
      <c r="I46" s="6"/>
      <c r="J46" s="6"/>
      <c r="K46" s="6"/>
      <c r="L46" s="6"/>
      <c r="M46" s="6"/>
      <c r="N46" s="6"/>
      <c r="O46" s="6"/>
    </row>
    <row r="47" spans="2:15" x14ac:dyDescent="0.2">
      <c r="B47" s="26" t="s">
        <v>286</v>
      </c>
      <c r="E47" s="6">
        <f>(Input!A142+Input!A141+Input!A147-Input!A143-Input!A144-Input!A207-Input!A208-SUM(Input!A136:A139)-SUM(Input!A202:'Input'!A205))/Input!A5*Input!A6/Input!A34</f>
        <v>1.3175020962661836</v>
      </c>
      <c r="F47" s="6">
        <f>(Input!B142+Input!B141+Input!B147-Input!B143-Input!B144-Input!B207-Input!B208-SUM(Input!B136:B139)-SUM(Input!B202:'Input'!B205))/Input!B5*Input!B6/Input!B34</f>
        <v>2.2484125867950819</v>
      </c>
      <c r="G47" s="6">
        <f>(Input!C142+Input!C141+Input!C147-Input!C143-Input!C144-Input!C207-Input!C208-SUM(Input!C136:C139)-SUM(Input!C202:'Input'!C205))/Input!C5*Input!C6/Input!C34</f>
        <v>0.5468333823453595</v>
      </c>
      <c r="H47" s="6">
        <f>(Input!D142+Input!D141+Input!D147-Input!D143-Input!D144-Input!D207-Input!D208-SUM(Input!D136:D139)-SUM(Input!D202:'Input'!D205))/Input!D5*Input!D6/Input!D34</f>
        <v>0.76217951011710183</v>
      </c>
      <c r="I47" s="6">
        <f>(Input!E142+Input!E141+Input!E147-Input!E143-Input!E144-Input!E207-Input!E208-SUM(Input!E136:E139)-SUM(Input!E202:'Input'!E205))/Input!E5*Input!E6/Input!E34</f>
        <v>1.2110695610043063</v>
      </c>
      <c r="J47" s="6">
        <f>(Input!F142+Input!F141+Input!F147-Input!F143-Input!F144-Input!F207-Input!F208-SUM(Input!F136:F139)-SUM(Input!F202:'Input'!F205))/Input!F5*Input!F6/Input!F34</f>
        <v>0.68030984264641325</v>
      </c>
      <c r="K47" s="6">
        <f>(Input!G142+Input!G141+Input!G147-Input!G143-Input!G144-Input!G207-Input!G208-SUM(Input!G136:G139)-SUM(Input!G202:'Input'!G205))/Input!G5*Input!G6/Input!G34</f>
        <v>0.67289367037036096</v>
      </c>
      <c r="L47" s="6">
        <f>(Input!H142+Input!H141+Input!H147-Input!H143-Input!H144-Input!H207-Input!H208-SUM(Input!H136:H139)-SUM(Input!H202:'Input'!H205))/Input!H5*Input!H6/Input!H34</f>
        <v>0.500668816696071</v>
      </c>
      <c r="M47" s="6">
        <f>(Input!I142+Input!I141+Input!I147-Input!I143-Input!I144-Input!I207-Input!I208-SUM(Input!I136:I139)-SUM(Input!I202:'Input'!I205))/Input!I5*Input!I6/Input!I34</f>
        <v>0.60989882473162593</v>
      </c>
      <c r="N47" s="6">
        <f>(Input!J142+Input!J141+Input!J147-Input!J143-Input!J144-Input!J207-Input!J208-SUM(Input!J136:J139)-SUM(Input!J202:'Input'!J205))/Input!J5*Input!J6/Input!J34</f>
        <v>0.3436069507214613</v>
      </c>
      <c r="O47" s="6">
        <f>AVERAGE(E47:N47)</f>
        <v>0.88933752416939671</v>
      </c>
    </row>
    <row r="48" spans="2:15" x14ac:dyDescent="0.2">
      <c r="B48" s="26" t="s">
        <v>287</v>
      </c>
      <c r="E48" s="6">
        <f>Input!A127/Input!A5</f>
        <v>15.732658030303032</v>
      </c>
      <c r="F48" s="6">
        <f>Input!B127/Input!B5</f>
        <v>18.902978787878787</v>
      </c>
      <c r="G48" s="6">
        <f>Input!C127/Input!C5</f>
        <v>17.836935399449036</v>
      </c>
      <c r="H48" s="6">
        <f>Input!D127/Input!D5</f>
        <v>17.86706129476584</v>
      </c>
      <c r="I48" s="6">
        <f>Input!E127/Input!E5</f>
        <v>16.025802835051547</v>
      </c>
      <c r="J48" s="6">
        <f>Input!F127/Input!F5</f>
        <v>15.390337437810944</v>
      </c>
      <c r="K48" s="6">
        <f>Input!G127/Input!G5</f>
        <v>15.359348894348894</v>
      </c>
      <c r="L48" s="6">
        <f>Input!H127/Input!H5</f>
        <v>14.877430946601942</v>
      </c>
      <c r="M48" s="6">
        <f>Input!I127/Input!I5</f>
        <v>13.98963613963039</v>
      </c>
      <c r="N48" s="6">
        <f>Input!J127/Input!J5</f>
        <v>15.771479621542939</v>
      </c>
      <c r="O48" s="16">
        <f>AVERAGE(E48:N48)</f>
        <v>16.175366938738335</v>
      </c>
    </row>
    <row r="49" spans="2:15" s="4" customFormat="1" x14ac:dyDescent="0.2">
      <c r="B49" s="27" t="s">
        <v>288</v>
      </c>
      <c r="E49" s="8">
        <f>+E45+E47-E48</f>
        <v>-1.2628340507070117</v>
      </c>
      <c r="F49" s="8">
        <f t="shared" ref="F49:N49" si="11">+F45+F47-F48</f>
        <v>7.6480790876374556</v>
      </c>
      <c r="G49" s="8">
        <f t="shared" si="11"/>
        <v>14.108102243057687</v>
      </c>
      <c r="H49" s="8">
        <f t="shared" si="11"/>
        <v>6.2552715364304632</v>
      </c>
      <c r="I49" s="8">
        <f t="shared" si="11"/>
        <v>0.9927082503198541</v>
      </c>
      <c r="J49" s="8">
        <f t="shared" si="11"/>
        <v>4.0145865780331267</v>
      </c>
      <c r="K49" s="8">
        <f t="shared" si="11"/>
        <v>8.9691728716378307</v>
      </c>
      <c r="L49" s="8">
        <f t="shared" si="11"/>
        <v>7.4233526553416294</v>
      </c>
      <c r="M49" s="8">
        <f t="shared" si="11"/>
        <v>10.549531962626281</v>
      </c>
      <c r="N49" s="8">
        <f t="shared" si="11"/>
        <v>8.6923505181629697</v>
      </c>
      <c r="O49" s="8">
        <f>AVERAGE(E49:N49)</f>
        <v>6.739032165254029</v>
      </c>
    </row>
  </sheetData>
  <mergeCells count="4">
    <mergeCell ref="D1:M1"/>
    <mergeCell ref="D2:M2"/>
    <mergeCell ref="D3:M3"/>
    <mergeCell ref="D27:M27"/>
  </mergeCells>
  <phoneticPr fontId="0" type="noConversion"/>
  <printOptions horizontalCentered="1"/>
  <pageMargins left="0.78740157480314965" right="0.78740157480314965" top="0.78740157480314965" bottom="0.59055118110236227" header="0.43307086614173229" footer="0.43307086614173229"/>
  <pageSetup paperSize="9" orientation="landscape" horizontalDpi="4294967293" r:id="rId1"/>
  <headerFooter alignWithMargins="0">
    <oddFooter>&amp;L&amp;8BOKU / HVLFÖ&amp;C&amp;8DVR-Nr: 0890723&amp;R&amp;8&amp;D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O49"/>
  <sheetViews>
    <sheetView topLeftCell="B1" workbookViewId="0">
      <selection activeCell="D2" sqref="D2:M2"/>
    </sheetView>
  </sheetViews>
  <sheetFormatPr baseColWidth="10" defaultRowHeight="12.75" x14ac:dyDescent="0.2"/>
  <cols>
    <col min="1" max="1" width="0.85546875" customWidth="1"/>
    <col min="2" max="2" width="10.28515625" customWidth="1"/>
    <col min="3" max="3" width="8.7109375" customWidth="1"/>
    <col min="4" max="4" width="9.7109375" customWidth="1"/>
    <col min="5" max="14" width="8.7109375" customWidth="1"/>
    <col min="15" max="15" width="10.7109375" customWidth="1"/>
  </cols>
  <sheetData>
    <row r="1" spans="1:15" ht="15.75" customHeight="1" x14ac:dyDescent="0.25">
      <c r="A1" t="s">
        <v>48</v>
      </c>
      <c r="C1" s="12">
        <f>Input!A3</f>
        <v>2024</v>
      </c>
      <c r="D1" s="36" t="s">
        <v>279</v>
      </c>
      <c r="E1" s="36"/>
      <c r="F1" s="36"/>
      <c r="G1" s="36"/>
      <c r="H1" s="36"/>
      <c r="I1" s="36"/>
      <c r="J1" s="36"/>
      <c r="K1" s="36"/>
      <c r="L1" s="36"/>
      <c r="M1" s="36"/>
      <c r="O1" s="34" t="s">
        <v>333</v>
      </c>
    </row>
    <row r="2" spans="1:15" ht="15.75" customHeight="1" x14ac:dyDescent="0.2">
      <c r="D2" s="37" t="str">
        <f>Kenndat!D2</f>
        <v>Produktionsgebiet 1: Alpenvorland</v>
      </c>
      <c r="E2" s="37"/>
      <c r="F2" s="37"/>
      <c r="G2" s="37"/>
      <c r="H2" s="37"/>
      <c r="I2" s="37"/>
      <c r="J2" s="37"/>
      <c r="K2" s="37"/>
      <c r="L2" s="37"/>
      <c r="M2" s="37"/>
      <c r="N2" s="5"/>
    </row>
    <row r="3" spans="1:15" ht="15" customHeight="1" x14ac:dyDescent="0.2">
      <c r="D3" s="38" t="s">
        <v>290</v>
      </c>
      <c r="E3" s="38"/>
      <c r="F3" s="38"/>
      <c r="G3" s="38"/>
      <c r="H3" s="38"/>
      <c r="I3" s="38"/>
      <c r="J3" s="38"/>
      <c r="K3" s="38"/>
      <c r="L3" s="38"/>
      <c r="M3" s="38"/>
      <c r="N3" s="2"/>
    </row>
    <row r="4" spans="1:15" ht="3" customHeight="1" x14ac:dyDescent="0.2"/>
    <row r="5" spans="1:15" x14ac:dyDescent="0.2">
      <c r="E5" s="3">
        <f>Input!A3</f>
        <v>2024</v>
      </c>
      <c r="F5" s="3">
        <f t="shared" ref="F5:N5" si="0">+E5-1</f>
        <v>2023</v>
      </c>
      <c r="G5" s="3">
        <f t="shared" si="0"/>
        <v>2022</v>
      </c>
      <c r="H5" s="3">
        <f t="shared" si="0"/>
        <v>2021</v>
      </c>
      <c r="I5" s="3">
        <f t="shared" si="0"/>
        <v>2020</v>
      </c>
      <c r="J5" s="3">
        <f t="shared" si="0"/>
        <v>2019</v>
      </c>
      <c r="K5" s="3">
        <f t="shared" si="0"/>
        <v>2018</v>
      </c>
      <c r="L5" s="3">
        <f t="shared" si="0"/>
        <v>2017</v>
      </c>
      <c r="M5" s="3">
        <f t="shared" si="0"/>
        <v>2016</v>
      </c>
      <c r="N5" s="3">
        <f t="shared" si="0"/>
        <v>2015</v>
      </c>
      <c r="O5" s="3" t="s">
        <v>16</v>
      </c>
    </row>
    <row r="6" spans="1:15" ht="1.5" customHeight="1" x14ac:dyDescent="0.2"/>
    <row r="7" spans="1:15" x14ac:dyDescent="0.2">
      <c r="B7" s="26" t="s">
        <v>282</v>
      </c>
      <c r="E7" s="6">
        <f>Input!A27/Input!A$7</f>
        <v>466.13091509713047</v>
      </c>
      <c r="F7" s="6">
        <f>Input!B27/Input!B$7</f>
        <v>466.94371223946376</v>
      </c>
      <c r="G7" s="6">
        <f>Input!C27/Input!C$7</f>
        <v>496.19856670645487</v>
      </c>
      <c r="H7" s="6">
        <f>Input!D27/Input!D$7</f>
        <v>455.79426354453631</v>
      </c>
      <c r="I7" s="6">
        <f>Input!E27/Input!E$7</f>
        <v>392.52931129476588</v>
      </c>
      <c r="J7" s="6">
        <f>Input!F27/Input!F$7</f>
        <v>453.53631857421328</v>
      </c>
      <c r="K7" s="6">
        <f>Input!G27/Input!G$7</f>
        <v>474.56342522974103</v>
      </c>
      <c r="L7" s="6">
        <f>Input!H27/Input!H$7</f>
        <v>462.2358191559357</v>
      </c>
      <c r="M7" s="6">
        <f>Input!I27/Input!I$7</f>
        <v>519.17810249539446</v>
      </c>
      <c r="N7" s="6">
        <f>Input!J27/Input!J$7</f>
        <v>694.86164372181338</v>
      </c>
      <c r="O7" s="6">
        <f>AVERAGE(E7:N7)</f>
        <v>488.19720780594491</v>
      </c>
    </row>
    <row r="8" spans="1:15" x14ac:dyDescent="0.2">
      <c r="B8" s="26" t="s">
        <v>302</v>
      </c>
      <c r="E8" s="6">
        <f>(Input!A125-Input!A203-Input!A207)/Input!A$7</f>
        <v>227.04939552312393</v>
      </c>
      <c r="F8" s="6">
        <f>(Input!B125-Input!B203-Input!B207)/Input!B$7</f>
        <v>194.6368111284547</v>
      </c>
      <c r="G8" s="6">
        <f>(Input!C125-Input!C203-Input!C207)/Input!C$7</f>
        <v>176.06855660637225</v>
      </c>
      <c r="H8" s="6">
        <f>(Input!D125-Input!D203-Input!D207)/Input!D$7</f>
        <v>179.50260055096416</v>
      </c>
      <c r="I8" s="6">
        <f>(Input!E125-Input!E203-Input!E207)/Input!E$7</f>
        <v>169.66662718089989</v>
      </c>
      <c r="J8" s="6">
        <f>(Input!F125-Input!F203-Input!F207)/Input!F$7</f>
        <v>187.38018472106191</v>
      </c>
      <c r="K8" s="6">
        <f>(Input!G125-Input!G203-Input!G207)/Input!G$7</f>
        <v>189.59076116216468</v>
      </c>
      <c r="L8" s="6">
        <f>(Input!H125-Input!H203-Input!H207)/Input!H$7</f>
        <v>190.45118432183477</v>
      </c>
      <c r="M8" s="6">
        <f>(Input!I125-Input!I203-Input!I207)/Input!I$7</f>
        <v>175.88001674761347</v>
      </c>
      <c r="N8" s="6">
        <f>(Input!J125-Input!J203-Input!J207)/Input!J$7</f>
        <v>227.06320792784237</v>
      </c>
      <c r="O8" s="6">
        <f>AVERAGE(E8:N8)</f>
        <v>191.72893458703322</v>
      </c>
    </row>
    <row r="9" spans="1:15" s="4" customFormat="1" x14ac:dyDescent="0.2">
      <c r="B9" s="27" t="s">
        <v>283</v>
      </c>
      <c r="E9" s="8">
        <f t="shared" ref="E9:N9" si="1">+E7-E8</f>
        <v>239.08151957400653</v>
      </c>
      <c r="F9" s="8">
        <f t="shared" si="1"/>
        <v>272.3069011110091</v>
      </c>
      <c r="G9" s="8">
        <f t="shared" si="1"/>
        <v>320.13001010008259</v>
      </c>
      <c r="H9" s="8">
        <f t="shared" si="1"/>
        <v>276.29166299357212</v>
      </c>
      <c r="I9" s="8">
        <f t="shared" si="1"/>
        <v>222.86268411386598</v>
      </c>
      <c r="J9" s="8">
        <f t="shared" si="1"/>
        <v>266.15613385315135</v>
      </c>
      <c r="K9" s="8">
        <f t="shared" si="1"/>
        <v>284.97266406757637</v>
      </c>
      <c r="L9" s="8">
        <f t="shared" si="1"/>
        <v>271.78463483410093</v>
      </c>
      <c r="M9" s="8">
        <f t="shared" si="1"/>
        <v>343.29808574778099</v>
      </c>
      <c r="N9" s="8">
        <f t="shared" si="1"/>
        <v>467.79843579397101</v>
      </c>
      <c r="O9" s="8">
        <f>AVERAGE(E9:N9)</f>
        <v>296.46827321891163</v>
      </c>
    </row>
    <row r="10" spans="1:15" ht="1.9" customHeight="1" x14ac:dyDescent="0.2">
      <c r="B10" s="26"/>
      <c r="E10" s="6"/>
      <c r="F10" s="6"/>
      <c r="G10" s="6"/>
      <c r="H10" s="6"/>
      <c r="I10" s="6"/>
      <c r="J10" s="6"/>
      <c r="K10" s="6"/>
      <c r="L10" s="6"/>
      <c r="M10" s="6"/>
      <c r="N10" s="6"/>
      <c r="O10" s="6"/>
    </row>
    <row r="11" spans="1:15" ht="13.15" customHeight="1" x14ac:dyDescent="0.2">
      <c r="B11" s="26" t="s">
        <v>297</v>
      </c>
      <c r="E11" s="6">
        <f>(Input!A136+Input!A144+Input!A204)/Input!A$7</f>
        <v>6.9731002859678535</v>
      </c>
      <c r="F11" s="6">
        <f>(Input!B136+Input!B144+Input!B204)/Input!B$7</f>
        <v>6.379769534478009</v>
      </c>
      <c r="G11" s="6">
        <f>(Input!C136+Input!C144+Input!C204)/Input!C$7</f>
        <v>7.3939252593884852</v>
      </c>
      <c r="H11" s="6">
        <f>(Input!D136+Input!D144+Input!D204)/Input!D$7</f>
        <v>7.3803434343434349</v>
      </c>
      <c r="I11" s="6">
        <f>(Input!E136+Input!E144+Input!E204)/Input!E$7</f>
        <v>6.1434168962350775</v>
      </c>
      <c r="J11" s="6">
        <f>(Input!F136+Input!F144+Input!F204)/Input!F$7</f>
        <v>5.9178900956093941</v>
      </c>
      <c r="K11" s="6">
        <f>(Input!G136+Input!G144+Input!G204)/Input!G$7</f>
        <v>6.4155824747052828</v>
      </c>
      <c r="L11" s="6">
        <f>(Input!H136+Input!H144+Input!H204)/Input!H$7</f>
        <v>9.7984669611805622</v>
      </c>
      <c r="M11" s="6">
        <f>(Input!I136+Input!I144+Input!I204)/Input!I$7</f>
        <v>8.9838067325406143</v>
      </c>
      <c r="N11" s="6">
        <f>(Input!J136+Input!J144+Input!J204)/Input!J$7</f>
        <v>12.047817469736531</v>
      </c>
      <c r="O11" s="6">
        <f>AVERAGE(E11:N11)</f>
        <v>7.7434119144185249</v>
      </c>
    </row>
    <row r="12" spans="1:15" ht="13.15" customHeight="1" x14ac:dyDescent="0.2">
      <c r="B12" s="26" t="s">
        <v>298</v>
      </c>
      <c r="E12" s="6">
        <f>Input!A18/Input!A$7</f>
        <v>27.796226210432899</v>
      </c>
      <c r="F12" s="6">
        <f>Input!B18/Input!B$7</f>
        <v>28.259515196033423</v>
      </c>
      <c r="G12" s="6">
        <f>Input!C18/Input!C$7</f>
        <v>18.964428427141677</v>
      </c>
      <c r="H12" s="6">
        <f>Input!D18/Input!D$7</f>
        <v>21.29667217630854</v>
      </c>
      <c r="I12" s="6">
        <f>Input!E18/Input!E$7</f>
        <v>19.267330578512396</v>
      </c>
      <c r="J12" s="6">
        <f>Input!F18/Input!F$7</f>
        <v>13.433808595562983</v>
      </c>
      <c r="K12" s="6">
        <f>Input!G18/Input!G$7</f>
        <v>22.507688666109718</v>
      </c>
      <c r="L12" s="6">
        <f>Input!H18/Input!H$7</f>
        <v>25.733071717266661</v>
      </c>
      <c r="M12" s="6">
        <f>Input!I18/Input!I$7</f>
        <v>20.68071009881092</v>
      </c>
      <c r="N12" s="6">
        <f>Input!J18/Input!J$7</f>
        <v>29.328560408260149</v>
      </c>
      <c r="O12" s="6">
        <f>AVERAGE(E12:N12)</f>
        <v>22.726801207443938</v>
      </c>
    </row>
    <row r="13" spans="1:15" ht="13.15" customHeight="1" x14ac:dyDescent="0.2">
      <c r="B13" s="27" t="s">
        <v>313</v>
      </c>
      <c r="E13" s="8">
        <f t="shared" ref="E13:N13" si="2">+E9+E11-E12</f>
        <v>218.25839364954149</v>
      </c>
      <c r="F13" s="8">
        <f t="shared" si="2"/>
        <v>250.42715544945366</v>
      </c>
      <c r="G13" s="8">
        <f t="shared" si="2"/>
        <v>308.55950693232938</v>
      </c>
      <c r="H13" s="8">
        <f t="shared" si="2"/>
        <v>262.375334251607</v>
      </c>
      <c r="I13" s="8">
        <f t="shared" si="2"/>
        <v>209.73877043158865</v>
      </c>
      <c r="J13" s="8">
        <f t="shared" si="2"/>
        <v>258.64021535319773</v>
      </c>
      <c r="K13" s="8">
        <f t="shared" si="2"/>
        <v>268.88055787617191</v>
      </c>
      <c r="L13" s="8">
        <f t="shared" si="2"/>
        <v>255.85003007801484</v>
      </c>
      <c r="M13" s="8">
        <f t="shared" si="2"/>
        <v>331.60118238151074</v>
      </c>
      <c r="N13" s="8">
        <f t="shared" si="2"/>
        <v>450.51769285544736</v>
      </c>
      <c r="O13" s="8">
        <f>AVERAGE(E13:N13)</f>
        <v>281.48488392588627</v>
      </c>
    </row>
    <row r="14" spans="1:15" ht="1.9" customHeight="1" x14ac:dyDescent="0.2">
      <c r="B14" s="26"/>
      <c r="E14" s="6"/>
      <c r="F14" s="6"/>
      <c r="G14" s="6"/>
      <c r="H14" s="6"/>
      <c r="I14" s="6"/>
      <c r="J14" s="6"/>
      <c r="K14" s="6"/>
      <c r="L14" s="6"/>
      <c r="M14" s="6"/>
      <c r="N14" s="6"/>
      <c r="O14" s="6"/>
    </row>
    <row r="15" spans="1:15" x14ac:dyDescent="0.2">
      <c r="B15" s="26" t="s">
        <v>284</v>
      </c>
      <c r="E15" s="6">
        <f>(Input!A129+Input!A202)/Input!A$7</f>
        <v>26.702676264668174</v>
      </c>
      <c r="F15" s="6">
        <f>(Input!B129+Input!B202)/Input!B$7</f>
        <v>25.803615829584061</v>
      </c>
      <c r="G15" s="6">
        <f>(Input!C129+Input!C202)/Input!C$7</f>
        <v>25.614076760628038</v>
      </c>
      <c r="H15" s="6">
        <f>(Input!D129+Input!D202)/Input!D$7</f>
        <v>16.853192837465567</v>
      </c>
      <c r="I15" s="6">
        <f>(Input!E129+Input!E202)/Input!E$7</f>
        <v>11.600911845730026</v>
      </c>
      <c r="J15" s="6">
        <f>(Input!F129+Input!F202)/Input!F$7</f>
        <v>14.169068040471549</v>
      </c>
      <c r="K15" s="6">
        <f>(Input!G129+Input!G202)/Input!G$7</f>
        <v>16.473360252483058</v>
      </c>
      <c r="L15" s="6">
        <f>(Input!H129+Input!H202)/Input!H$7</f>
        <v>9.4491841338471652</v>
      </c>
      <c r="M15" s="6">
        <f>(Input!I129+Input!I202)/Input!I$7</f>
        <v>2.0689231284541956</v>
      </c>
      <c r="N15" s="6">
        <f>(Input!J129+Input!J202)/Input!J$7</f>
        <v>19.745620697840021</v>
      </c>
      <c r="O15" s="6">
        <f>AVERAGE(E15:N15)</f>
        <v>16.848062979117184</v>
      </c>
    </row>
    <row r="16" spans="1:15" x14ac:dyDescent="0.2">
      <c r="B16" s="26" t="s">
        <v>285</v>
      </c>
      <c r="E16" s="6">
        <f>Input!A124/Input!A$7</f>
        <v>102.86205206587121</v>
      </c>
      <c r="F16" s="6">
        <f>Input!B124/Input!B$7</f>
        <v>84.802637957946928</v>
      </c>
      <c r="G16" s="6">
        <f>Input!C124/Input!C$7</f>
        <v>79.397708199430724</v>
      </c>
      <c r="H16" s="6">
        <f>Input!D124/Input!D$7</f>
        <v>88.608441689623518</v>
      </c>
      <c r="I16" s="6">
        <f>Input!E124/Input!E$7</f>
        <v>90.068842975206607</v>
      </c>
      <c r="J16" s="6">
        <f>Input!F124/Input!F$7</f>
        <v>85.56203935765339</v>
      </c>
      <c r="K16" s="6">
        <f>Input!G124/Input!G$7</f>
        <v>88.109384572542467</v>
      </c>
      <c r="L16" s="6">
        <f>Input!H124/Input!H$7</f>
        <v>75.750266002443837</v>
      </c>
      <c r="M16" s="6">
        <f>Input!I124/Input!I$7</f>
        <v>115.96790654831686</v>
      </c>
      <c r="N16" s="6">
        <f>Input!J124/Input!J$7</f>
        <v>86.546955850937579</v>
      </c>
      <c r="O16" s="6">
        <f>AVERAGE(E16:N16)</f>
        <v>89.767623521997308</v>
      </c>
    </row>
    <row r="17" spans="2:15" s="4" customFormat="1" x14ac:dyDescent="0.2">
      <c r="B17" s="27" t="s">
        <v>301</v>
      </c>
      <c r="E17" s="8">
        <f t="shared" ref="E17:N17" si="3">+E13+E15-E16</f>
        <v>142.09901784833846</v>
      </c>
      <c r="F17" s="8">
        <f t="shared" si="3"/>
        <v>191.42813332109083</v>
      </c>
      <c r="G17" s="8">
        <f t="shared" si="3"/>
        <v>254.77587549352671</v>
      </c>
      <c r="H17" s="8">
        <f t="shared" si="3"/>
        <v>190.62008539944901</v>
      </c>
      <c r="I17" s="8">
        <f t="shared" si="3"/>
        <v>131.27083930211205</v>
      </c>
      <c r="J17" s="8">
        <f t="shared" si="3"/>
        <v>187.24724403601587</v>
      </c>
      <c r="K17" s="8">
        <f t="shared" si="3"/>
        <v>197.24453355611251</v>
      </c>
      <c r="L17" s="8">
        <f t="shared" si="3"/>
        <v>189.5489482094182</v>
      </c>
      <c r="M17" s="8">
        <f t="shared" si="3"/>
        <v>217.70219896164804</v>
      </c>
      <c r="N17" s="8">
        <f t="shared" si="3"/>
        <v>383.7163577023498</v>
      </c>
      <c r="O17" s="8">
        <f>AVERAGE(E17:N17)</f>
        <v>208.56532338300613</v>
      </c>
    </row>
    <row r="18" spans="2:15" ht="1.9" customHeight="1" x14ac:dyDescent="0.2">
      <c r="B18" s="26"/>
      <c r="E18" s="6"/>
      <c r="F18" s="6"/>
      <c r="G18" s="6"/>
      <c r="H18" s="6"/>
      <c r="I18" s="6"/>
      <c r="J18" s="6"/>
      <c r="K18" s="6"/>
      <c r="L18" s="6"/>
      <c r="M18" s="6"/>
      <c r="N18" s="6"/>
      <c r="O18" s="6"/>
    </row>
    <row r="19" spans="2:15" ht="13.15" customHeight="1" x14ac:dyDescent="0.2">
      <c r="B19" s="26" t="s">
        <v>299</v>
      </c>
      <c r="E19" s="6">
        <f>(Input!A137+Input!A139+Input!A205+Input!A208)/Input!A$7</f>
        <v>15.545338723991719</v>
      </c>
      <c r="F19" s="6">
        <f>(Input!B137+Input!B139+Input!B205+Input!B208)/Input!B$7</f>
        <v>19.574062987788082</v>
      </c>
      <c r="G19" s="6">
        <f>(Input!C137+Input!C139+Input!C205+Input!C208)/Input!C$7</f>
        <v>16.70332843632357</v>
      </c>
      <c r="H19" s="6">
        <f>(Input!D137+Input!D139+Input!D205+Input!D208)/Input!D$7</f>
        <v>17.207804407713496</v>
      </c>
      <c r="I19" s="6">
        <f>(Input!E137+Input!E139+Input!E205+Input!E208)/Input!E$7</f>
        <v>23.259517906336086</v>
      </c>
      <c r="J19" s="6">
        <f>(Input!F137+Input!F139+Input!F205+Input!F208)/Input!F$7</f>
        <v>15.670031560382437</v>
      </c>
      <c r="K19" s="6">
        <f>(Input!G137+Input!G139+Input!G205+Input!G208)/Input!G$7</f>
        <v>31.879166434605025</v>
      </c>
      <c r="L19" s="6">
        <f>(Input!H137+Input!H139+Input!H205+Input!H208)/Input!H$7</f>
        <v>17.973108374847257</v>
      </c>
      <c r="M19" s="6">
        <f>(Input!I137+Input!I139+Input!I205+Input!I208)/Input!I$7</f>
        <v>32.499762183888798</v>
      </c>
      <c r="N19" s="6">
        <f>(Input!J137+Input!J139+Input!J205+Input!J208)/Input!J$7</f>
        <v>27.789880132921908</v>
      </c>
      <c r="O19" s="6">
        <f>AVERAGE(E19:N19)</f>
        <v>21.810200114879841</v>
      </c>
    </row>
    <row r="20" spans="2:15" ht="13.15" customHeight="1" x14ac:dyDescent="0.2">
      <c r="B20" s="26" t="s">
        <v>300</v>
      </c>
      <c r="E20" s="6">
        <f>(Input!A19+Input!A20)/Input!A$7</f>
        <v>20.08119120402327</v>
      </c>
      <c r="F20" s="6">
        <f>(Input!B19+Input!B20)/Input!B$7</f>
        <v>28.279485813974841</v>
      </c>
      <c r="G20" s="6">
        <f>(Input!C19+Input!C20)/Input!C$7</f>
        <v>25.251468184739693</v>
      </c>
      <c r="H20" s="6">
        <f>(Input!D19+Input!D20)/Input!D$7</f>
        <v>18.25130119375574</v>
      </c>
      <c r="I20" s="6">
        <f>(Input!E19+Input!E20)/Input!E$7</f>
        <v>21.98214416896235</v>
      </c>
      <c r="J20" s="6">
        <f>(Input!F19+Input!F20)/Input!F$7</f>
        <v>21.881549243479068</v>
      </c>
      <c r="K20" s="6">
        <f>(Input!G19+Input!G20)/Input!G$7</f>
        <v>17.585449735449735</v>
      </c>
      <c r="L20" s="6">
        <f>(Input!H19+Input!H20)/Input!H$7</f>
        <v>22.413518187799603</v>
      </c>
      <c r="M20" s="6">
        <f>(Input!I19+Input!I20)/Input!I$7</f>
        <v>20.766903366270309</v>
      </c>
      <c r="N20" s="6">
        <f>(Input!J19+Input!J20)/Input!J$7</f>
        <v>71.975855684785202</v>
      </c>
      <c r="O20" s="6">
        <f>AVERAGE(E20:N20)</f>
        <v>26.846886678323983</v>
      </c>
    </row>
    <row r="21" spans="2:15" ht="13.15" customHeight="1" x14ac:dyDescent="0.2">
      <c r="B21" s="27" t="s">
        <v>314</v>
      </c>
      <c r="E21" s="8">
        <f t="shared" ref="E21:N21" si="4">+E17+E19-E20</f>
        <v>137.56316536830693</v>
      </c>
      <c r="F21" s="8">
        <f t="shared" si="4"/>
        <v>182.72271049490408</v>
      </c>
      <c r="G21" s="8">
        <f t="shared" si="4"/>
        <v>246.22773574511058</v>
      </c>
      <c r="H21" s="8">
        <f t="shared" si="4"/>
        <v>189.57658861340676</v>
      </c>
      <c r="I21" s="8">
        <f t="shared" si="4"/>
        <v>132.5482130394858</v>
      </c>
      <c r="J21" s="8">
        <f t="shared" si="4"/>
        <v>181.03572635291923</v>
      </c>
      <c r="K21" s="8">
        <f t="shared" si="4"/>
        <v>211.5382502552678</v>
      </c>
      <c r="L21" s="8">
        <f t="shared" si="4"/>
        <v>185.10853839646583</v>
      </c>
      <c r="M21" s="8">
        <f t="shared" si="4"/>
        <v>229.43505777926654</v>
      </c>
      <c r="N21" s="8">
        <f t="shared" si="4"/>
        <v>339.5303821504865</v>
      </c>
      <c r="O21" s="8">
        <f>AVERAGE(E21:N21)</f>
        <v>203.528636819562</v>
      </c>
    </row>
    <row r="22" spans="2:15" ht="1.9" customHeight="1" x14ac:dyDescent="0.2">
      <c r="B22" s="26"/>
      <c r="E22" s="6"/>
      <c r="F22" s="6"/>
      <c r="G22" s="6"/>
      <c r="H22" s="6"/>
      <c r="I22" s="6"/>
      <c r="J22" s="6"/>
      <c r="K22" s="6"/>
      <c r="L22" s="6"/>
      <c r="M22" s="6"/>
      <c r="N22" s="6"/>
      <c r="O22" s="6"/>
    </row>
    <row r="23" spans="2:15" x14ac:dyDescent="0.2">
      <c r="B23" s="26" t="s">
        <v>286</v>
      </c>
      <c r="E23" s="6">
        <f>(Input!A142+Input!A141+Input!A147-Input!A143-Input!A144-Input!A207-Input!A208-SUM(Input!A136:A139)-SUM(Input!A202:'Input'!A205))/Input!A7</f>
        <v>9.8395099102652459</v>
      </c>
      <c r="F23" s="6">
        <f>(Input!B142+Input!B141+Input!B147-Input!B143-Input!B144-Input!B207-Input!B208-SUM(Input!B136:B139)-SUM(Input!B202:'Input'!B205))/Input!B7</f>
        <v>15.894409145165744</v>
      </c>
      <c r="G23" s="6">
        <f>(Input!C142+Input!C141+Input!C147-Input!C143-Input!C144-Input!C207-Input!C208-SUM(Input!C136:C139)-SUM(Input!C202:'Input'!C205))/Input!C7</f>
        <v>3.737014048296738</v>
      </c>
      <c r="H23" s="6">
        <f>(Input!D142+Input!D141+Input!D147-Input!D143-Input!D144-Input!D207-Input!D208-SUM(Input!D136:D139)-SUM(Input!D202:'Input'!D205))/Input!D7</f>
        <v>5.2363048668503147</v>
      </c>
      <c r="I23" s="6">
        <f>(Input!E142+Input!E141+Input!E147-Input!E143-Input!E144-Input!E207-Input!E208-SUM(Input!E136:E139)-SUM(Input!E202:'Input'!E205))/Input!E7</f>
        <v>9.1315858585858507</v>
      </c>
      <c r="J23" s="6">
        <f>(Input!F142+Input!F141+Input!F147-Input!F143-Input!F144-Input!F207-Input!F208-SUM(Input!F136:F139)-SUM(Input!F202:'Input'!F205))/Input!F7</f>
        <v>5.3050737956001139</v>
      </c>
      <c r="K23" s="6">
        <f>(Input!G142+Input!G141+Input!G147-Input!G143-Input!G144-Input!G207-Input!G208-SUM(Input!G136:G139)-SUM(Input!G202:'Input'!G205))/Input!G7</f>
        <v>5.3232256567344303</v>
      </c>
      <c r="L23" s="6">
        <f>(Input!H142+Input!H141+Input!H147-Input!H143-Input!H144-Input!H207-Input!H208-SUM(Input!H136:H139)-SUM(Input!H202:'Input'!H205))/Input!H7</f>
        <v>4.0266575805996734</v>
      </c>
      <c r="M23" s="6">
        <f>(Input!I142+Input!I141+Input!I147-Input!I143-Input!I144-Input!I207-Input!I208-SUM(Input!I136:I139)-SUM(Input!I202:'Input'!I205))/Input!I7</f>
        <v>5.3255049405459811</v>
      </c>
      <c r="N23" s="6">
        <f>(Input!J142+Input!J141+Input!J147-Input!J143-Input!J144-Input!J207-Input!J208-SUM(Input!J136:J139)-SUM(Input!J202:'Input'!J205))/Input!J7</f>
        <v>3.078883218609072</v>
      </c>
      <c r="O23" s="6">
        <f>AVERAGE(E23:N23)</f>
        <v>6.6898169021253171</v>
      </c>
    </row>
    <row r="24" spans="2:15" x14ac:dyDescent="0.2">
      <c r="B24" s="26" t="s">
        <v>287</v>
      </c>
      <c r="E24" s="6">
        <f>Input!A127/Input!A$7</f>
        <v>102.39181836110838</v>
      </c>
      <c r="F24" s="6">
        <f>Input!B127/Input!B$7</f>
        <v>126.00828757689835</v>
      </c>
      <c r="G24" s="6">
        <f>Input!C127/Input!C$7</f>
        <v>118.90198420714351</v>
      </c>
      <c r="H24" s="6">
        <f>Input!D127/Input!D$7</f>
        <v>119.11374196510559</v>
      </c>
      <c r="I24" s="6">
        <f>Input!E127/Input!E$7</f>
        <v>114.19672176308541</v>
      </c>
      <c r="J24" s="6">
        <f>Input!F127/Input!F$7</f>
        <v>114.85966119001206</v>
      </c>
      <c r="K24" s="6">
        <f>Input!G127/Input!G$7</f>
        <v>116.05411677341502</v>
      </c>
      <c r="L24" s="6">
        <f>Input!H127/Input!H$7</f>
        <v>115.22702415640568</v>
      </c>
      <c r="M24" s="6">
        <f>Input!I127/Input!I$7</f>
        <v>114.10070005024285</v>
      </c>
      <c r="N24" s="6">
        <f>Input!J127/Input!J$7</f>
        <v>128.59015547116067</v>
      </c>
      <c r="O24" s="16">
        <f>AVERAGE(E24:N24)</f>
        <v>116.94442115145776</v>
      </c>
    </row>
    <row r="25" spans="2:15" s="4" customFormat="1" x14ac:dyDescent="0.2">
      <c r="B25" s="27" t="s">
        <v>288</v>
      </c>
      <c r="E25" s="8">
        <f t="shared" ref="E25:N25" si="5">+E21+E23-E24</f>
        <v>45.010856917463784</v>
      </c>
      <c r="F25" s="8">
        <f t="shared" si="5"/>
        <v>72.608832063171477</v>
      </c>
      <c r="G25" s="8">
        <f t="shared" si="5"/>
        <v>131.06276558626382</v>
      </c>
      <c r="H25" s="8">
        <f t="shared" si="5"/>
        <v>75.69915151515147</v>
      </c>
      <c r="I25" s="8">
        <f t="shared" si="5"/>
        <v>27.483077134986246</v>
      </c>
      <c r="J25" s="8">
        <f t="shared" si="5"/>
        <v>71.481138958507287</v>
      </c>
      <c r="K25" s="8">
        <f t="shared" si="5"/>
        <v>100.8073591385872</v>
      </c>
      <c r="L25" s="8">
        <f t="shared" si="5"/>
        <v>73.908171820659831</v>
      </c>
      <c r="M25" s="8">
        <f t="shared" si="5"/>
        <v>120.65986266956968</v>
      </c>
      <c r="N25" s="8">
        <f t="shared" si="5"/>
        <v>214.0191098979349</v>
      </c>
      <c r="O25" s="8">
        <f>AVERAGE(E25:N25)</f>
        <v>93.274032570229565</v>
      </c>
    </row>
    <row r="26" spans="2:15" ht="6" customHeight="1" x14ac:dyDescent="0.2">
      <c r="E26" s="6"/>
      <c r="F26" s="6"/>
      <c r="G26" s="6"/>
      <c r="H26" s="6"/>
      <c r="I26" s="6"/>
      <c r="J26" s="6"/>
      <c r="K26" s="6"/>
      <c r="L26" s="6"/>
      <c r="M26" s="6"/>
      <c r="N26" s="6"/>
      <c r="O26" s="6"/>
    </row>
    <row r="27" spans="2:15" ht="15" customHeight="1" x14ac:dyDescent="0.2">
      <c r="D27" s="38" t="s">
        <v>291</v>
      </c>
      <c r="E27" s="38"/>
      <c r="F27" s="38"/>
      <c r="G27" s="38"/>
      <c r="H27" s="38"/>
      <c r="I27" s="38"/>
      <c r="J27" s="38"/>
      <c r="K27" s="38"/>
      <c r="L27" s="38"/>
      <c r="M27" s="38"/>
      <c r="N27" s="2"/>
    </row>
    <row r="28" spans="2:15" ht="3" customHeight="1" x14ac:dyDescent="0.2"/>
    <row r="29" spans="2:15" x14ac:dyDescent="0.2">
      <c r="E29" s="3">
        <f>Input!A3</f>
        <v>2024</v>
      </c>
      <c r="F29" s="3">
        <f t="shared" ref="F29:N29" si="6">+E29-1</f>
        <v>2023</v>
      </c>
      <c r="G29" s="3">
        <f t="shared" si="6"/>
        <v>2022</v>
      </c>
      <c r="H29" s="3">
        <f t="shared" si="6"/>
        <v>2021</v>
      </c>
      <c r="I29" s="3">
        <f t="shared" si="6"/>
        <v>2020</v>
      </c>
      <c r="J29" s="3">
        <f t="shared" si="6"/>
        <v>2019</v>
      </c>
      <c r="K29" s="3">
        <f t="shared" si="6"/>
        <v>2018</v>
      </c>
      <c r="L29" s="3">
        <f t="shared" si="6"/>
        <v>2017</v>
      </c>
      <c r="M29" s="3">
        <f t="shared" si="6"/>
        <v>2016</v>
      </c>
      <c r="N29" s="3">
        <f t="shared" si="6"/>
        <v>2015</v>
      </c>
      <c r="O29" s="3" t="s">
        <v>16</v>
      </c>
    </row>
    <row r="30" spans="2:15" ht="1.5" customHeight="1" x14ac:dyDescent="0.2"/>
    <row r="31" spans="2:15" x14ac:dyDescent="0.2">
      <c r="B31" s="26" t="s">
        <v>282</v>
      </c>
      <c r="E31" s="6">
        <f>Input!A35/Input!A7</f>
        <v>483.97621536337635</v>
      </c>
      <c r="F31" s="6">
        <f>Input!B35/Input!B7</f>
        <v>494.06085024332015</v>
      </c>
      <c r="G31" s="6">
        <f>Input!C35/Input!C7</f>
        <v>455.70736663299971</v>
      </c>
      <c r="H31" s="6">
        <f>Input!D35/Input!D7</f>
        <v>422.47095775941233</v>
      </c>
      <c r="I31" s="6">
        <f>Input!E35/Input!E7</f>
        <v>400.70653168044078</v>
      </c>
      <c r="J31" s="6">
        <f>Input!F35/Input!F7</f>
        <v>428.88358860113249</v>
      </c>
      <c r="K31" s="6">
        <f>Input!G35/Input!G7</f>
        <v>458.12398217766639</v>
      </c>
      <c r="L31" s="6">
        <f>Input!H35/Input!H7</f>
        <v>465.62558981107253</v>
      </c>
      <c r="M31" s="6">
        <f>Input!I35/Input!I7</f>
        <v>524.44791324736229</v>
      </c>
      <c r="N31" s="6">
        <f>Input!J35/Input!J7</f>
        <v>581.62563612627582</v>
      </c>
      <c r="O31" s="6">
        <f>AVERAGE(E31:N31)</f>
        <v>471.5628631643059</v>
      </c>
    </row>
    <row r="32" spans="2:15" x14ac:dyDescent="0.2">
      <c r="B32" s="26" t="s">
        <v>302</v>
      </c>
      <c r="E32" s="6">
        <f>(Input!A131-Input!A209)/Input!A$7</f>
        <v>226.21163691943596</v>
      </c>
      <c r="F32" s="6">
        <f>(Input!B131-Input!B209)/Input!B$7</f>
        <v>208.26755027086585</v>
      </c>
      <c r="G32" s="6">
        <f>(Input!C131-Input!C209)/Input!C$7</f>
        <v>159.58614085024334</v>
      </c>
      <c r="H32" s="6">
        <f>(Input!D131-Input!D209)/Input!D$7</f>
        <v>164.46143617998163</v>
      </c>
      <c r="I32" s="6">
        <f>(Input!E131-Input!E209)/Input!E$7</f>
        <v>173.47193112947656</v>
      </c>
      <c r="J32" s="6">
        <f>(Input!F131-Input!F209)/Input!F$7</f>
        <v>183.50971874129772</v>
      </c>
      <c r="K32" s="6">
        <f>(Input!G131-Input!G209)/Input!G$7</f>
        <v>182.25750672978745</v>
      </c>
      <c r="L32" s="6">
        <f>(Input!H131-Input!H209)/Input!H$7</f>
        <v>189.68994924334993</v>
      </c>
      <c r="M32" s="6">
        <f>(Input!I131-Input!I209)/Input!I$7</f>
        <v>178.60090604588845</v>
      </c>
      <c r="N32" s="6">
        <f>(Input!J131-Input!J209)/Input!J$7</f>
        <v>191.42129361500119</v>
      </c>
      <c r="O32" s="6">
        <f>AVERAGE(E32:N32)</f>
        <v>185.7478069725328</v>
      </c>
    </row>
    <row r="33" spans="2:15" s="4" customFormat="1" x14ac:dyDescent="0.2">
      <c r="B33" s="27" t="s">
        <v>283</v>
      </c>
      <c r="E33" s="8">
        <f t="shared" ref="E33:N33" si="7">+E31-E32</f>
        <v>257.76457844394042</v>
      </c>
      <c r="F33" s="8">
        <f t="shared" si="7"/>
        <v>285.79329997245429</v>
      </c>
      <c r="G33" s="8">
        <f t="shared" si="7"/>
        <v>296.12122578275637</v>
      </c>
      <c r="H33" s="8">
        <f t="shared" si="7"/>
        <v>258.00952157943073</v>
      </c>
      <c r="I33" s="8">
        <f t="shared" si="7"/>
        <v>227.23460055096422</v>
      </c>
      <c r="J33" s="8">
        <f t="shared" si="7"/>
        <v>245.37386985983477</v>
      </c>
      <c r="K33" s="8">
        <f t="shared" si="7"/>
        <v>275.86647544787894</v>
      </c>
      <c r="L33" s="8">
        <f t="shared" si="7"/>
        <v>275.9356405677226</v>
      </c>
      <c r="M33" s="8">
        <f t="shared" si="7"/>
        <v>345.84700720147384</v>
      </c>
      <c r="N33" s="8">
        <f t="shared" si="7"/>
        <v>390.2043425112746</v>
      </c>
      <c r="O33" s="8">
        <f>AVERAGE(E33:N33)</f>
        <v>285.81505619177307</v>
      </c>
    </row>
    <row r="34" spans="2:15" ht="1.9" customHeight="1" x14ac:dyDescent="0.2">
      <c r="B34" s="26"/>
      <c r="E34" s="6"/>
      <c r="F34" s="6"/>
      <c r="G34" s="6"/>
      <c r="H34" s="6"/>
      <c r="I34" s="6"/>
      <c r="J34" s="6"/>
      <c r="K34" s="6"/>
      <c r="L34" s="6"/>
      <c r="M34" s="6"/>
      <c r="N34" s="6"/>
      <c r="O34" s="6"/>
    </row>
    <row r="35" spans="2:15" ht="13.15" customHeight="1" x14ac:dyDescent="0.2">
      <c r="B35" s="26" t="s">
        <v>297</v>
      </c>
      <c r="E35" s="6">
        <f>(Input!A136+Input!A144+Input!A204)/Input!A7</f>
        <v>6.9731002859678535</v>
      </c>
      <c r="F35" s="6">
        <f>(Input!B136+Input!B144+Input!B204)/Input!B7</f>
        <v>6.379769534478009</v>
      </c>
      <c r="G35" s="6">
        <f>(Input!C136+Input!C144+Input!C204)/Input!C7</f>
        <v>7.3939252593884852</v>
      </c>
      <c r="H35" s="6">
        <f>(Input!D136+Input!D144+Input!D204)/Input!D7</f>
        <v>7.3803434343434349</v>
      </c>
      <c r="I35" s="6">
        <f>(Input!E136+Input!E144+Input!E204)/Input!E7</f>
        <v>6.1434168962350775</v>
      </c>
      <c r="J35" s="6">
        <f>(Input!F136+Input!F144+Input!F204)/Input!F7</f>
        <v>5.9178900956093941</v>
      </c>
      <c r="K35" s="6">
        <f>(Input!G136+Input!G144+Input!G204)/Input!G7</f>
        <v>6.4155824747052828</v>
      </c>
      <c r="L35" s="6">
        <f>(Input!H136+Input!H144+Input!H204)/Input!H7</f>
        <v>9.7984669611805622</v>
      </c>
      <c r="M35" s="6">
        <f>(Input!I136+Input!I144+Input!I204)/Input!I7</f>
        <v>8.9838067325406143</v>
      </c>
      <c r="N35" s="6">
        <f>(Input!J136+Input!J144+Input!J204)/Input!J7</f>
        <v>12.047817469736531</v>
      </c>
      <c r="O35" s="6">
        <f>AVERAGE(E35:N35)</f>
        <v>7.7434119144185249</v>
      </c>
    </row>
    <row r="36" spans="2:15" ht="13.15" customHeight="1" x14ac:dyDescent="0.2">
      <c r="B36" s="26" t="s">
        <v>298</v>
      </c>
      <c r="E36" s="6">
        <f>Input!A18/Input!A7</f>
        <v>27.796226210432899</v>
      </c>
      <c r="F36" s="6">
        <f>Input!B18/Input!B7</f>
        <v>28.259515196033423</v>
      </c>
      <c r="G36" s="6">
        <f>Input!C18/Input!C7</f>
        <v>18.964428427141677</v>
      </c>
      <c r="H36" s="6">
        <f>Input!D18/Input!D7</f>
        <v>21.29667217630854</v>
      </c>
      <c r="I36" s="6">
        <f>Input!E18/Input!E7</f>
        <v>19.267330578512396</v>
      </c>
      <c r="J36" s="6">
        <f>Input!F18/Input!F7</f>
        <v>13.433808595562983</v>
      </c>
      <c r="K36" s="6">
        <f>Input!G18/Input!G7</f>
        <v>22.507688666109718</v>
      </c>
      <c r="L36" s="6">
        <f>Input!H18/Input!H7</f>
        <v>25.733071717266661</v>
      </c>
      <c r="M36" s="6">
        <f>Input!I18/Input!I7</f>
        <v>20.68071009881092</v>
      </c>
      <c r="N36" s="6">
        <f>Input!J18/Input!J7</f>
        <v>29.328560408260149</v>
      </c>
      <c r="O36" s="6">
        <f>AVERAGE(E36:N36)</f>
        <v>22.726801207443938</v>
      </c>
    </row>
    <row r="37" spans="2:15" ht="13.15" customHeight="1" x14ac:dyDescent="0.2">
      <c r="B37" s="27" t="s">
        <v>313</v>
      </c>
      <c r="E37" s="8">
        <f t="shared" ref="E37:N37" si="8">+E33+E35-E36</f>
        <v>236.94145251947538</v>
      </c>
      <c r="F37" s="8">
        <f t="shared" si="8"/>
        <v>263.91355431089886</v>
      </c>
      <c r="G37" s="8">
        <f t="shared" si="8"/>
        <v>284.55072261500317</v>
      </c>
      <c r="H37" s="8">
        <f t="shared" si="8"/>
        <v>244.09319283746564</v>
      </c>
      <c r="I37" s="8">
        <f t="shared" si="8"/>
        <v>214.11068686868688</v>
      </c>
      <c r="J37" s="8">
        <f t="shared" si="8"/>
        <v>237.85795135988116</v>
      </c>
      <c r="K37" s="8">
        <f t="shared" si="8"/>
        <v>259.77436925647447</v>
      </c>
      <c r="L37" s="8">
        <f t="shared" si="8"/>
        <v>260.00103581163648</v>
      </c>
      <c r="M37" s="8">
        <f t="shared" si="8"/>
        <v>334.15010383520359</v>
      </c>
      <c r="N37" s="8">
        <f t="shared" si="8"/>
        <v>372.92359957275096</v>
      </c>
      <c r="O37" s="8">
        <f>AVERAGE(E37:N37)</f>
        <v>270.83166689874764</v>
      </c>
    </row>
    <row r="38" spans="2:15" ht="1.9" customHeight="1" x14ac:dyDescent="0.2">
      <c r="B38" s="26"/>
      <c r="E38" s="6"/>
      <c r="F38" s="6"/>
      <c r="G38" s="6"/>
      <c r="H38" s="6"/>
      <c r="I38" s="6"/>
      <c r="J38" s="6"/>
      <c r="K38" s="6"/>
      <c r="L38" s="6"/>
      <c r="M38" s="6"/>
      <c r="N38" s="6"/>
      <c r="O38" s="6"/>
    </row>
    <row r="39" spans="2:15" x14ac:dyDescent="0.2">
      <c r="B39" s="26" t="s">
        <v>284</v>
      </c>
      <c r="E39" s="6">
        <f>(Input!A129+Input!A202)/Input!A7</f>
        <v>26.702676264668174</v>
      </c>
      <c r="F39" s="6">
        <f>(Input!B129+Input!B202)/Input!B7</f>
        <v>25.803615829584061</v>
      </c>
      <c r="G39" s="6">
        <f>(Input!C129+Input!C202)/Input!C7</f>
        <v>25.614076760628038</v>
      </c>
      <c r="H39" s="6">
        <f>(Input!D129+Input!D202)/Input!D7</f>
        <v>16.853192837465567</v>
      </c>
      <c r="I39" s="6">
        <f>(Input!E129+Input!E202)/Input!E7</f>
        <v>11.600911845730026</v>
      </c>
      <c r="J39" s="6">
        <f>(Input!F129+Input!F202)/Input!F7</f>
        <v>14.169068040471549</v>
      </c>
      <c r="K39" s="6">
        <f>(Input!G129+Input!G202)/Input!G7</f>
        <v>16.473360252483058</v>
      </c>
      <c r="L39" s="6">
        <f>(Input!H129+Input!H202)/Input!H7</f>
        <v>9.4491841338471652</v>
      </c>
      <c r="M39" s="6">
        <f>(Input!I129+Input!I202)/Input!I7</f>
        <v>2.0689231284541956</v>
      </c>
      <c r="N39" s="6">
        <f>(Input!J129+Input!J202)/Input!J7</f>
        <v>19.745620697840021</v>
      </c>
      <c r="O39" s="6">
        <f>AVERAGE(E39:N39)</f>
        <v>16.848062979117184</v>
      </c>
    </row>
    <row r="40" spans="2:15" x14ac:dyDescent="0.2">
      <c r="B40" s="26" t="s">
        <v>285</v>
      </c>
      <c r="E40" s="6">
        <f>Input!A124/Input!A7</f>
        <v>102.86205206587121</v>
      </c>
      <c r="F40" s="6">
        <f>Input!B124/Input!B7</f>
        <v>84.802637957946928</v>
      </c>
      <c r="G40" s="6">
        <f>Input!C124/Input!C7</f>
        <v>79.397708199430724</v>
      </c>
      <c r="H40" s="6">
        <f>Input!D124/Input!D7</f>
        <v>88.608441689623518</v>
      </c>
      <c r="I40" s="6">
        <f>Input!E124/Input!E7</f>
        <v>90.068842975206607</v>
      </c>
      <c r="J40" s="6">
        <f>Input!F124/Input!F7</f>
        <v>85.56203935765339</v>
      </c>
      <c r="K40" s="6">
        <f>Input!G124/Input!G7</f>
        <v>88.109384572542467</v>
      </c>
      <c r="L40" s="6">
        <f>Input!H124/Input!H7</f>
        <v>75.750266002443837</v>
      </c>
      <c r="M40" s="6">
        <f>Input!I124/Input!I7</f>
        <v>115.96790654831686</v>
      </c>
      <c r="N40" s="6">
        <f>Input!J124/Input!J7</f>
        <v>86.546955850937579</v>
      </c>
      <c r="O40" s="6">
        <f>AVERAGE(E40:N40)</f>
        <v>89.767623521997308</v>
      </c>
    </row>
    <row r="41" spans="2:15" s="4" customFormat="1" x14ac:dyDescent="0.2">
      <c r="B41" s="27" t="s">
        <v>301</v>
      </c>
      <c r="E41" s="8">
        <f t="shared" ref="E41:N41" si="9">+E37+E39-E40</f>
        <v>160.78207671827235</v>
      </c>
      <c r="F41" s="8">
        <f t="shared" si="9"/>
        <v>204.91453218253602</v>
      </c>
      <c r="G41" s="8">
        <f t="shared" si="9"/>
        <v>230.76709117620049</v>
      </c>
      <c r="H41" s="8">
        <f t="shared" si="9"/>
        <v>172.33794398530767</v>
      </c>
      <c r="I41" s="8">
        <f t="shared" si="9"/>
        <v>135.64275573921032</v>
      </c>
      <c r="J41" s="8">
        <f t="shared" si="9"/>
        <v>166.46498004269932</v>
      </c>
      <c r="K41" s="8">
        <f t="shared" si="9"/>
        <v>188.13834493641508</v>
      </c>
      <c r="L41" s="8">
        <f t="shared" si="9"/>
        <v>193.69995394303982</v>
      </c>
      <c r="M41" s="8">
        <f t="shared" si="9"/>
        <v>220.25112041534089</v>
      </c>
      <c r="N41" s="8">
        <f t="shared" si="9"/>
        <v>306.12226441965339</v>
      </c>
      <c r="O41" s="8">
        <f>AVERAGE(E41:N41)</f>
        <v>197.91210635586754</v>
      </c>
    </row>
    <row r="42" spans="2:15" ht="1.9" customHeight="1" x14ac:dyDescent="0.2">
      <c r="B42" s="26"/>
      <c r="E42" s="6"/>
      <c r="F42" s="6"/>
      <c r="G42" s="6"/>
      <c r="H42" s="6"/>
      <c r="I42" s="6"/>
      <c r="J42" s="6"/>
      <c r="K42" s="6"/>
      <c r="L42" s="6"/>
      <c r="M42" s="6"/>
      <c r="N42" s="6"/>
      <c r="O42" s="6"/>
    </row>
    <row r="43" spans="2:15" ht="13.15" customHeight="1" x14ac:dyDescent="0.2">
      <c r="B43" s="26" t="s">
        <v>299</v>
      </c>
      <c r="E43" s="6">
        <f>(Input!A137+Input!A139+Input!A205+Input!A208)/Input!A7</f>
        <v>15.545338723991719</v>
      </c>
      <c r="F43" s="6">
        <f>(Input!B137+Input!B139+Input!B205+Input!B208)/Input!B7</f>
        <v>19.574062987788082</v>
      </c>
      <c r="G43" s="6">
        <f>(Input!C137+Input!C139+Input!C205+Input!C208)/Input!C7</f>
        <v>16.70332843632357</v>
      </c>
      <c r="H43" s="6">
        <f>(Input!D137+Input!D139+Input!D205+Input!D208)/Input!D7</f>
        <v>17.207804407713496</v>
      </c>
      <c r="I43" s="6">
        <f>(Input!E137+Input!E139+Input!E205+Input!E208)/Input!E7</f>
        <v>23.259517906336086</v>
      </c>
      <c r="J43" s="6">
        <f>(Input!F137+Input!F139+Input!F205+Input!F208)/Input!F7</f>
        <v>15.670031560382437</v>
      </c>
      <c r="K43" s="6">
        <f>(Input!G137+Input!G139+Input!G205+Input!G208)/Input!G7</f>
        <v>31.879166434605025</v>
      </c>
      <c r="L43" s="6">
        <f>(Input!H137+Input!H139+Input!H205+Input!H208)/Input!H7</f>
        <v>17.973108374847257</v>
      </c>
      <c r="M43" s="6">
        <f>(Input!I137+Input!I139+Input!I205+Input!I208)/Input!I7</f>
        <v>32.499762183888798</v>
      </c>
      <c r="N43" s="6">
        <f>(Input!J137+Input!J139+Input!J205+Input!J208)/Input!J7</f>
        <v>27.789880132921908</v>
      </c>
      <c r="O43" s="6">
        <f>AVERAGE(E43:N43)</f>
        <v>21.810200114879841</v>
      </c>
    </row>
    <row r="44" spans="2:15" ht="13.15" customHeight="1" x14ac:dyDescent="0.2">
      <c r="B44" s="26" t="s">
        <v>300</v>
      </c>
      <c r="E44" s="6">
        <f>(Input!A19+Input!A20)/Input!A7</f>
        <v>20.08119120402327</v>
      </c>
      <c r="F44" s="6">
        <f>(Input!B19+Input!B20)/Input!B7</f>
        <v>28.279485813974841</v>
      </c>
      <c r="G44" s="6">
        <f>(Input!C19+Input!C20)/Input!C7</f>
        <v>25.251468184739693</v>
      </c>
      <c r="H44" s="6">
        <f>(Input!D19+Input!D20)/Input!D7</f>
        <v>18.25130119375574</v>
      </c>
      <c r="I44" s="6">
        <f>(Input!E19+Input!E20)/Input!E7</f>
        <v>21.98214416896235</v>
      </c>
      <c r="J44" s="6">
        <f>(Input!F19+Input!F20)/Input!F7</f>
        <v>21.881549243479068</v>
      </c>
      <c r="K44" s="6">
        <f>(Input!G19+Input!G20)/Input!G7</f>
        <v>17.585449735449735</v>
      </c>
      <c r="L44" s="6">
        <f>(Input!H19+Input!H20)/Input!H7</f>
        <v>22.413518187799603</v>
      </c>
      <c r="M44" s="6">
        <f>(Input!I19+Input!I20)/Input!I7</f>
        <v>20.766903366270309</v>
      </c>
      <c r="N44" s="6">
        <f>(Input!J19+Input!J20)/Input!J7</f>
        <v>71.975855684785202</v>
      </c>
      <c r="O44" s="6">
        <f>AVERAGE(E44:N44)</f>
        <v>26.846886678323983</v>
      </c>
    </row>
    <row r="45" spans="2:15" ht="13.15" customHeight="1" x14ac:dyDescent="0.2">
      <c r="B45" s="27" t="s">
        <v>314</v>
      </c>
      <c r="E45" s="8">
        <f t="shared" ref="E45:N45" si="10">+E41+E43-E44</f>
        <v>156.24622423824079</v>
      </c>
      <c r="F45" s="8">
        <f t="shared" si="10"/>
        <v>196.20910935634927</v>
      </c>
      <c r="G45" s="8">
        <f t="shared" si="10"/>
        <v>222.21895142778436</v>
      </c>
      <c r="H45" s="8">
        <f t="shared" si="10"/>
        <v>171.29444719926542</v>
      </c>
      <c r="I45" s="8">
        <f t="shared" si="10"/>
        <v>136.92012947658407</v>
      </c>
      <c r="J45" s="8">
        <f t="shared" si="10"/>
        <v>160.25346235960268</v>
      </c>
      <c r="K45" s="8">
        <f t="shared" si="10"/>
        <v>202.43206163557036</v>
      </c>
      <c r="L45" s="8">
        <f t="shared" si="10"/>
        <v>189.25954413008745</v>
      </c>
      <c r="M45" s="8">
        <f t="shared" si="10"/>
        <v>231.9839792329594</v>
      </c>
      <c r="N45" s="8">
        <f t="shared" si="10"/>
        <v>261.9362888677901</v>
      </c>
      <c r="O45" s="8">
        <f>AVERAGE(E45:N45)</f>
        <v>192.8754197924234</v>
      </c>
    </row>
    <row r="46" spans="2:15" ht="1.9" customHeight="1" x14ac:dyDescent="0.2">
      <c r="B46" s="26"/>
      <c r="E46" s="6"/>
      <c r="F46" s="6"/>
      <c r="G46" s="6"/>
      <c r="H46" s="6"/>
      <c r="I46" s="6"/>
      <c r="J46" s="6"/>
      <c r="K46" s="6"/>
      <c r="L46" s="6"/>
      <c r="M46" s="6"/>
      <c r="N46" s="6"/>
      <c r="O46" s="6"/>
    </row>
    <row r="47" spans="2:15" x14ac:dyDescent="0.2">
      <c r="B47" s="26" t="s">
        <v>286</v>
      </c>
      <c r="E47" s="6">
        <f>(Input!A142+Input!A141+Input!A147-Input!A143-Input!A144-Input!A207-Input!A208-SUM(Input!A136:A139)-SUM(Input!A202:'Input'!A205))/Input!A7</f>
        <v>9.8395099102652459</v>
      </c>
      <c r="F47" s="6">
        <f>(Input!B142+Input!B141+Input!B147-Input!B143-Input!B144-Input!B207-Input!B208-SUM(Input!B136:B139)-SUM(Input!B202:'Input'!B205))/Input!B7</f>
        <v>15.894409145165744</v>
      </c>
      <c r="G47" s="6">
        <f>(Input!C142+Input!C141+Input!C147-Input!C143-Input!C144-Input!C207-Input!C208-SUM(Input!C136:C139)-SUM(Input!C202:'Input'!C205))/Input!C7</f>
        <v>3.737014048296738</v>
      </c>
      <c r="H47" s="6">
        <f>(Input!D142+Input!D141+Input!D147-Input!D143-Input!D144-Input!D207-Input!D208-SUM(Input!D136:D139)-SUM(Input!D202:'Input'!D205))/Input!D7</f>
        <v>5.2363048668503147</v>
      </c>
      <c r="I47" s="6">
        <f>(Input!E142+Input!E141+Input!E147-Input!E143-Input!E144-Input!E207-Input!E208-SUM(Input!E136:E139)-SUM(Input!E202:'Input'!E205))/Input!E7</f>
        <v>9.1315858585858507</v>
      </c>
      <c r="J47" s="6">
        <f>(Input!F142+Input!F141+Input!F147-Input!F143-Input!F144-Input!F207-Input!F208-SUM(Input!F136:F139)-SUM(Input!F202:'Input'!F205))/Input!F7</f>
        <v>5.3050737956001139</v>
      </c>
      <c r="K47" s="6">
        <f>(Input!G142+Input!G141+Input!G147-Input!G143-Input!G144-Input!G207-Input!G208-SUM(Input!G136:G139)-SUM(Input!G202:'Input'!G205))/Input!G7</f>
        <v>5.3232256567344303</v>
      </c>
      <c r="L47" s="6">
        <f>(Input!H142+Input!H141+Input!H147-Input!H143-Input!H144-Input!H207-Input!H208-SUM(Input!H136:H139)-SUM(Input!H202:'Input'!H205))/Input!H7</f>
        <v>4.0266575805996734</v>
      </c>
      <c r="M47" s="6">
        <f>(Input!I142+Input!I141+Input!I147-Input!I143-Input!I144-Input!I207-Input!I208-SUM(Input!I136:I139)-SUM(Input!I202:'Input'!I205))/Input!I7</f>
        <v>5.3255049405459811</v>
      </c>
      <c r="N47" s="6">
        <f>(Input!J142+Input!J141+Input!J147-Input!J143-Input!J144-Input!J207-Input!J208-SUM(Input!J136:J139)-SUM(Input!J202:'Input'!J205))/Input!J7</f>
        <v>3.078883218609072</v>
      </c>
      <c r="O47" s="6">
        <f>AVERAGE(E47:N47)</f>
        <v>6.6898169021253171</v>
      </c>
    </row>
    <row r="48" spans="2:15" x14ac:dyDescent="0.2">
      <c r="B48" s="26" t="s">
        <v>287</v>
      </c>
      <c r="E48" s="6">
        <f>Input!A127/Input!A7</f>
        <v>102.39181836110838</v>
      </c>
      <c r="F48" s="6">
        <f>Input!B127/Input!B7</f>
        <v>126.00828757689835</v>
      </c>
      <c r="G48" s="6">
        <f>Input!C127/Input!C7</f>
        <v>118.90198420714351</v>
      </c>
      <c r="H48" s="6">
        <f>Input!D127/Input!D7</f>
        <v>119.11374196510559</v>
      </c>
      <c r="I48" s="6">
        <f>Input!E127/Input!E7</f>
        <v>114.19672176308541</v>
      </c>
      <c r="J48" s="6">
        <f>Input!F127/Input!F7</f>
        <v>114.85966119001206</v>
      </c>
      <c r="K48" s="6">
        <f>Input!G127/Input!G7</f>
        <v>116.05411677341502</v>
      </c>
      <c r="L48" s="6">
        <f>Input!H127/Input!H7</f>
        <v>115.22702415640568</v>
      </c>
      <c r="M48" s="6">
        <f>Input!I127/Input!I7</f>
        <v>114.10070005024285</v>
      </c>
      <c r="N48" s="6">
        <f>Input!J127/Input!J7</f>
        <v>128.59015547116067</v>
      </c>
      <c r="O48" s="16">
        <f>AVERAGE(E48:N48)</f>
        <v>116.94442115145776</v>
      </c>
    </row>
    <row r="49" spans="2:15" s="4" customFormat="1" x14ac:dyDescent="0.2">
      <c r="B49" s="27" t="s">
        <v>288</v>
      </c>
      <c r="E49" s="8">
        <f t="shared" ref="E49:N49" si="11">+E45+E47-E48</f>
        <v>63.693915787397643</v>
      </c>
      <c r="F49" s="8">
        <f t="shared" si="11"/>
        <v>86.095230924616672</v>
      </c>
      <c r="G49" s="8">
        <f t="shared" si="11"/>
        <v>107.05398126893759</v>
      </c>
      <c r="H49" s="8">
        <f t="shared" si="11"/>
        <v>57.417010101010135</v>
      </c>
      <c r="I49" s="8">
        <f t="shared" si="11"/>
        <v>31.85499357208451</v>
      </c>
      <c r="J49" s="8">
        <f t="shared" si="11"/>
        <v>50.69887496519074</v>
      </c>
      <c r="K49" s="8">
        <f t="shared" si="11"/>
        <v>91.701170518889768</v>
      </c>
      <c r="L49" s="8">
        <f t="shared" si="11"/>
        <v>78.059177554281447</v>
      </c>
      <c r="M49" s="8">
        <f t="shared" si="11"/>
        <v>123.20878412326253</v>
      </c>
      <c r="N49" s="8">
        <f t="shared" si="11"/>
        <v>136.42501661523849</v>
      </c>
      <c r="O49" s="8">
        <f>AVERAGE(E49:N49)</f>
        <v>82.620815543090941</v>
      </c>
    </row>
  </sheetData>
  <mergeCells count="4">
    <mergeCell ref="D1:M1"/>
    <mergeCell ref="D2:M2"/>
    <mergeCell ref="D3:M3"/>
    <mergeCell ref="D27:M27"/>
  </mergeCells>
  <phoneticPr fontId="0" type="noConversion"/>
  <printOptions horizontalCentered="1"/>
  <pageMargins left="0.78740157480314965" right="0.78740157480314965" top="0.78740157480314965" bottom="0.59055118110236227" header="0.43307086614173229" footer="0.43307086614173229"/>
  <pageSetup paperSize="9" orientation="landscape" horizontalDpi="4294967293" r:id="rId1"/>
  <headerFooter alignWithMargins="0">
    <oddFooter>&amp;L&amp;8BOKU / HVLFÖ&amp;C&amp;8DVR-Nr: 0890723&amp;R&amp;8&amp;D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O45"/>
  <sheetViews>
    <sheetView zoomScaleNormal="100" workbookViewId="0">
      <selection activeCell="D2" sqref="D2:M2"/>
    </sheetView>
  </sheetViews>
  <sheetFormatPr baseColWidth="10" defaultRowHeight="12.75" x14ac:dyDescent="0.2"/>
  <cols>
    <col min="1" max="1" width="0.85546875" customWidth="1"/>
    <col min="2" max="2" width="10.28515625" customWidth="1"/>
    <col min="3" max="3" width="8.7109375" customWidth="1"/>
    <col min="4" max="4" width="9.7109375" customWidth="1"/>
    <col min="5" max="12" width="8.7109375" customWidth="1"/>
    <col min="13" max="13" width="8.85546875" customWidth="1"/>
    <col min="14" max="14" width="8.7109375" customWidth="1"/>
    <col min="15" max="15" width="10.5703125" customWidth="1"/>
    <col min="16" max="16" width="20.7109375" customWidth="1"/>
  </cols>
  <sheetData>
    <row r="1" spans="1:15" ht="15.75" x14ac:dyDescent="0.25">
      <c r="A1" t="s">
        <v>48</v>
      </c>
      <c r="C1" s="12">
        <f>Input!A3</f>
        <v>2024</v>
      </c>
      <c r="D1" s="36" t="s">
        <v>177</v>
      </c>
      <c r="E1" s="36"/>
      <c r="F1" s="36"/>
      <c r="G1" s="36"/>
      <c r="H1" s="36"/>
      <c r="I1" s="36"/>
      <c r="J1" s="36"/>
      <c r="K1" s="36"/>
      <c r="L1" s="36"/>
      <c r="M1" s="36"/>
      <c r="O1" s="3" t="s">
        <v>178</v>
      </c>
    </row>
    <row r="2" spans="1:15" ht="15.75" customHeight="1" x14ac:dyDescent="0.2">
      <c r="D2" s="37" t="str">
        <f>Kenndat!D2</f>
        <v>Produktionsgebiet 1: Alpenvorland</v>
      </c>
      <c r="E2" s="37"/>
      <c r="F2" s="37"/>
      <c r="G2" s="37"/>
      <c r="H2" s="37"/>
      <c r="I2" s="37"/>
      <c r="J2" s="37"/>
      <c r="K2" s="37"/>
      <c r="L2" s="37"/>
      <c r="M2" s="37"/>
      <c r="N2" s="5"/>
    </row>
    <row r="3" spans="1:15" ht="15.75" customHeight="1" x14ac:dyDescent="0.2">
      <c r="D3" s="38" t="s">
        <v>168</v>
      </c>
      <c r="E3" s="38"/>
      <c r="F3" s="38"/>
      <c r="G3" s="38"/>
      <c r="H3" s="38"/>
      <c r="I3" s="38"/>
      <c r="J3" s="38"/>
      <c r="K3" s="38"/>
      <c r="L3" s="38"/>
      <c r="M3" s="38"/>
      <c r="N3" s="2"/>
    </row>
    <row r="4" spans="1:15" ht="9" customHeight="1" x14ac:dyDescent="0.2"/>
    <row r="5" spans="1:15" x14ac:dyDescent="0.2">
      <c r="E5" s="3">
        <f>Input!A3</f>
        <v>2024</v>
      </c>
      <c r="F5" s="3">
        <f t="shared" ref="F5:N5" si="0">+E5-1</f>
        <v>2023</v>
      </c>
      <c r="G5" s="3">
        <f t="shared" si="0"/>
        <v>2022</v>
      </c>
      <c r="H5" s="3">
        <f t="shared" si="0"/>
        <v>2021</v>
      </c>
      <c r="I5" s="3">
        <f t="shared" si="0"/>
        <v>2020</v>
      </c>
      <c r="J5" s="3">
        <f t="shared" si="0"/>
        <v>2019</v>
      </c>
      <c r="K5" s="3">
        <f t="shared" si="0"/>
        <v>2018</v>
      </c>
      <c r="L5" s="3">
        <f t="shared" si="0"/>
        <v>2017</v>
      </c>
      <c r="M5" s="3">
        <f t="shared" si="0"/>
        <v>2016</v>
      </c>
      <c r="N5" s="3">
        <f t="shared" si="0"/>
        <v>2015</v>
      </c>
      <c r="O5" s="3" t="s">
        <v>16</v>
      </c>
    </row>
    <row r="6" spans="1:15" ht="7.5" customHeight="1" x14ac:dyDescent="0.2"/>
    <row r="7" spans="1:15" ht="12" customHeight="1" x14ac:dyDescent="0.2">
      <c r="B7" t="s">
        <v>179</v>
      </c>
      <c r="E7" s="6">
        <f>Input!A132/Input!A$34</f>
        <v>62.95979618442653</v>
      </c>
      <c r="F7" s="6">
        <f>Input!B132/Input!B$34</f>
        <v>68.074010810456841</v>
      </c>
      <c r="G7" s="6">
        <f>Input!C132/Input!C$34</f>
        <v>68.614470979016019</v>
      </c>
      <c r="H7" s="6">
        <f>Input!D132/Input!D$34</f>
        <v>61.775271221503345</v>
      </c>
      <c r="I7" s="6">
        <f>Input!E132/Input!E$34</f>
        <v>54.232366631263851</v>
      </c>
      <c r="J7" s="6">
        <f>Input!F132/Input!F$34</f>
        <v>53.935536183143775</v>
      </c>
      <c r="K7" s="6">
        <f>Input!G132/Input!G$34</f>
        <v>57.166465032708864</v>
      </c>
      <c r="L7" s="6">
        <f>Input!H132/Input!H$34</f>
        <v>57.802039431390064</v>
      </c>
      <c r="M7" s="6">
        <f>Input!I132/Input!I$34</f>
        <v>56.717445806975398</v>
      </c>
      <c r="N7" s="6">
        <f>Input!J132/Input!J$34</f>
        <v>66.966770009821104</v>
      </c>
      <c r="O7" s="6">
        <f>AVERAGE(E7:N7)</f>
        <v>60.824417229070583</v>
      </c>
    </row>
    <row r="8" spans="1:15" ht="12" customHeight="1" x14ac:dyDescent="0.2">
      <c r="B8" t="s">
        <v>180</v>
      </c>
      <c r="E8" s="6">
        <f>Input!A133/Input!A$34</f>
        <v>0.74793434874513121</v>
      </c>
      <c r="F8" s="6">
        <f>Input!B133/Input!B$34</f>
        <v>0.9142813113527114</v>
      </c>
      <c r="G8" s="6">
        <f>Input!C133/Input!C$34</f>
        <v>-2.4094855381035827</v>
      </c>
      <c r="H8" s="6">
        <f>Input!D133/Input!D$34</f>
        <v>0.34819347387954408</v>
      </c>
      <c r="I8" s="6">
        <f>Input!E133/Input!E$34</f>
        <v>-1.0551329409781007</v>
      </c>
      <c r="J8" s="6">
        <f>Input!F133/Input!F$34</f>
        <v>0.90020472383886108</v>
      </c>
      <c r="K8" s="6">
        <f>Input!G133/Input!G$34</f>
        <v>0.65149545216825477</v>
      </c>
      <c r="L8" s="6">
        <f>Input!H133/Input!H$34</f>
        <v>-0.47919876171752313</v>
      </c>
      <c r="M8" s="6">
        <f>Input!I133/Input!I$34</f>
        <v>3.4453856889296879</v>
      </c>
      <c r="N8" s="6">
        <f>Input!J133/Input!J$34</f>
        <v>-0.97314570141311774</v>
      </c>
      <c r="O8" s="6">
        <f>AVERAGE(E8:N8)</f>
        <v>0.20905320567018659</v>
      </c>
    </row>
    <row r="9" spans="1:15" ht="12" customHeight="1" x14ac:dyDescent="0.2">
      <c r="B9" t="s">
        <v>181</v>
      </c>
      <c r="E9" s="6">
        <f>Input!A134/Input!A$34</f>
        <v>0.17906289902035472</v>
      </c>
      <c r="F9" s="6">
        <f>Input!B134/Input!B$34</f>
        <v>8.9407275728885932E-2</v>
      </c>
      <c r="G9" s="6">
        <f>Input!C134/Input!C$34</f>
        <v>0.17911435603885101</v>
      </c>
      <c r="H9" s="6">
        <f>Input!D134/Input!D$34</f>
        <v>0.19598276287477256</v>
      </c>
      <c r="I9" s="6">
        <f>Input!E134/Input!E$34</f>
        <v>1.5884600523762504E-2</v>
      </c>
      <c r="J9" s="6">
        <f>Input!F134/Input!F$34</f>
        <v>0.14226157616876789</v>
      </c>
      <c r="K9" s="6">
        <f>Input!G134/Input!G$34</f>
        <v>6.7743914721120707E-2</v>
      </c>
      <c r="L9" s="6">
        <f>Input!H134/Input!H$34</f>
        <v>0.51321307750660072</v>
      </c>
      <c r="M9" s="6">
        <f>Input!I134/Input!I$34</f>
        <v>7.6712030099441483E-2</v>
      </c>
      <c r="N9" s="6">
        <f>Input!J134/Input!J$34</f>
        <v>0.19148507572016907</v>
      </c>
      <c r="O9" s="6">
        <f>AVERAGE(E9:N9)</f>
        <v>0.16508675684027269</v>
      </c>
    </row>
    <row r="10" spans="1:15" ht="12" customHeight="1" x14ac:dyDescent="0.2">
      <c r="B10" t="s">
        <v>182</v>
      </c>
      <c r="E10" s="6">
        <f>Input!A135/Input!A$34</f>
        <v>-0.48569669624558726</v>
      </c>
      <c r="F10" s="6">
        <f>Input!B135/Input!B$34</f>
        <v>-0.27290727850246316</v>
      </c>
      <c r="G10" s="6">
        <f>Input!C135/Input!C$34</f>
        <v>-0.23415478217186239</v>
      </c>
      <c r="H10" s="6">
        <f>Input!D135/Input!D$34</f>
        <v>-0.80750811065160699</v>
      </c>
      <c r="I10" s="6">
        <f>Input!E135/Input!E$34</f>
        <v>0</v>
      </c>
      <c r="J10" s="6">
        <f>Input!F135/Input!F$34</f>
        <v>0</v>
      </c>
      <c r="K10" s="6">
        <f>Input!G135/Input!G$34</f>
        <v>0</v>
      </c>
      <c r="L10" s="6">
        <f>Input!H135/Input!H$34</f>
        <v>-7.9083616404773405E-3</v>
      </c>
      <c r="M10" s="6">
        <f>Input!I135/Input!I$34</f>
        <v>0</v>
      </c>
      <c r="N10" s="6">
        <f>Input!J135/Input!J$34</f>
        <v>0</v>
      </c>
      <c r="O10" s="6">
        <f>AVERAGE(E10:N10)</f>
        <v>-0.18081752292119971</v>
      </c>
    </row>
    <row r="11" spans="1:15" ht="12.75" customHeight="1" x14ac:dyDescent="0.2">
      <c r="B11" s="28" t="s">
        <v>68</v>
      </c>
      <c r="E11" s="8">
        <f>Input!A27/Input!A$34</f>
        <v>63.401096735946439</v>
      </c>
      <c r="F11" s="8">
        <f>Input!B27/Input!B$34</f>
        <v>68.804792119035966</v>
      </c>
      <c r="G11" s="8">
        <f>Input!C27/Input!C$34</f>
        <v>66.149945014779419</v>
      </c>
      <c r="H11" s="8">
        <f>Input!D27/Input!D$34</f>
        <v>61.511939347606067</v>
      </c>
      <c r="I11" s="8">
        <f>Input!E27/Input!E$34</f>
        <v>53.193118290809515</v>
      </c>
      <c r="J11" s="8">
        <f>Input!F27/Input!F$34</f>
        <v>54.978002483151407</v>
      </c>
      <c r="K11" s="8">
        <f>Input!G27/Input!G$34</f>
        <v>57.885704399598239</v>
      </c>
      <c r="L11" s="8">
        <f>Input!H27/Input!H$34</f>
        <v>57.828145385538662</v>
      </c>
      <c r="M11" s="8">
        <f>Input!I27/Input!I$34</f>
        <v>60.239543526004532</v>
      </c>
      <c r="N11" s="8">
        <f>Input!J27/Input!J$34</f>
        <v>66.185109384128154</v>
      </c>
      <c r="O11" s="8">
        <f>AVERAGE(E11:N11)</f>
        <v>61.017739668659843</v>
      </c>
    </row>
    <row r="12" spans="1:15" ht="3" customHeight="1" x14ac:dyDescent="0.2">
      <c r="B12" s="19"/>
      <c r="E12" s="6"/>
      <c r="F12" s="6"/>
      <c r="G12" s="6"/>
      <c r="H12" s="6"/>
      <c r="I12" s="6"/>
      <c r="J12" s="6"/>
      <c r="K12" s="6"/>
      <c r="L12" s="6"/>
      <c r="M12" s="6"/>
      <c r="N12" s="6"/>
      <c r="O12" s="6"/>
    </row>
    <row r="13" spans="1:15" ht="12.75" customHeight="1" x14ac:dyDescent="0.2">
      <c r="B13" s="28" t="s">
        <v>69</v>
      </c>
      <c r="E13" s="8">
        <f>Input!A28/Input!A34</f>
        <v>1.4265480648518727E-2</v>
      </c>
      <c r="F13" s="8">
        <f>Input!B28/Input!B34</f>
        <v>5.8746259222313302E-2</v>
      </c>
      <c r="G13" s="8">
        <f>Input!C28/Input!C34</f>
        <v>2.4276978623332633E-2</v>
      </c>
      <c r="H13" s="8">
        <f>Input!D28/Input!D34</f>
        <v>0.13051881526179321</v>
      </c>
      <c r="I13" s="8">
        <f>Input!E28/Input!E34</f>
        <v>5.7918501359803934E-2</v>
      </c>
      <c r="J13" s="8">
        <f>Input!F28/Input!F34</f>
        <v>0.13313812141516676</v>
      </c>
      <c r="K13" s="8">
        <f>Input!G28/Input!G34</f>
        <v>9.925157475460572E-2</v>
      </c>
      <c r="L13" s="8">
        <f>Input!H28/Input!H34</f>
        <v>8.5567830901958686E-2</v>
      </c>
      <c r="M13" s="8">
        <f>Input!I28/Input!I34</f>
        <v>0.13537792000298476</v>
      </c>
      <c r="N13" s="8">
        <f>Input!J28/Input!J34</f>
        <v>3.9788810090958256E-2</v>
      </c>
      <c r="O13" s="8">
        <f>AVERAGE(E13:N13)</f>
        <v>7.7885029228143596E-2</v>
      </c>
    </row>
    <row r="14" spans="1:15" ht="3" customHeight="1" x14ac:dyDescent="0.2">
      <c r="B14" s="19"/>
      <c r="O14" s="6"/>
    </row>
    <row r="15" spans="1:15" ht="12" customHeight="1" x14ac:dyDescent="0.2">
      <c r="B15" t="s">
        <v>183</v>
      </c>
      <c r="E15" s="16">
        <f>Input!A136/Input!A$34</f>
        <v>0.94845072802772623</v>
      </c>
      <c r="F15" s="16">
        <f>Input!B136/Input!B$34</f>
        <v>0.92426984227275299</v>
      </c>
      <c r="G15" s="16">
        <f>Input!C136/Input!C$34</f>
        <v>0.9516048046213047</v>
      </c>
      <c r="H15" s="16">
        <f>Input!D136/Input!D$34</f>
        <v>0.82332727376149206</v>
      </c>
      <c r="I15" s="16">
        <f>Input!E136/Input!E$34</f>
        <v>0.81340130175327907</v>
      </c>
      <c r="J15" s="16">
        <f>Input!F136/Input!F$34</f>
        <v>0.70050086113638488</v>
      </c>
      <c r="K15" s="16">
        <f>Input!G136/Input!G$34</f>
        <v>0.70859773612147903</v>
      </c>
      <c r="L15" s="16">
        <f>Input!H136/Input!H$34</f>
        <v>1.0753587972394758</v>
      </c>
      <c r="M15" s="16">
        <f>Input!I136/Input!I$34</f>
        <v>1.0196893128872075</v>
      </c>
      <c r="N15" s="16">
        <f>Input!J136/Input!J$34</f>
        <v>0.60037839736946341</v>
      </c>
      <c r="O15" s="6">
        <f t="shared" ref="O15:O26" si="1">AVERAGE(E15:N15)</f>
        <v>0.85655790551905642</v>
      </c>
    </row>
    <row r="16" spans="1:15" ht="12" customHeight="1" x14ac:dyDescent="0.2">
      <c r="B16" t="s">
        <v>184</v>
      </c>
      <c r="E16" s="16">
        <f>Input!A137/Input!A$34</f>
        <v>0.37426043756773281</v>
      </c>
      <c r="F16" s="16">
        <f>Input!B137/Input!B$34</f>
        <v>1.6989221067226503</v>
      </c>
      <c r="G16" s="16">
        <f>Input!C137/Input!C$34</f>
        <v>1.175219977604417</v>
      </c>
      <c r="H16" s="16">
        <f>Input!D137/Input!D$34</f>
        <v>1.2712798725345991</v>
      </c>
      <c r="I16" s="16">
        <f>Input!E137/Input!E$34</f>
        <v>1.2533533430768837</v>
      </c>
      <c r="J16" s="16">
        <f>Input!F137/Input!F$34</f>
        <v>1.0271564585678963</v>
      </c>
      <c r="K16" s="16">
        <f>Input!G137/Input!G$34</f>
        <v>1.081637013359698</v>
      </c>
      <c r="L16" s="16">
        <f>Input!H137/Input!H$34</f>
        <v>1.1211982026889111</v>
      </c>
      <c r="M16" s="16">
        <f>Input!I137/Input!I$34</f>
        <v>1.9322665406434567</v>
      </c>
      <c r="N16" s="16">
        <f>Input!J137/Input!J$34</f>
        <v>1.1449830301090089</v>
      </c>
      <c r="O16" s="6">
        <f t="shared" si="1"/>
        <v>1.2080276982875255</v>
      </c>
    </row>
    <row r="17" spans="2:15" ht="12" customHeight="1" x14ac:dyDescent="0.2">
      <c r="B17" t="s">
        <v>185</v>
      </c>
      <c r="E17" s="16">
        <f>Input!A138/Input!A$34</f>
        <v>1.1238434445314764</v>
      </c>
      <c r="F17" s="16">
        <f>Input!B138/Input!B$34</f>
        <v>0.83659097867633259</v>
      </c>
      <c r="G17" s="16">
        <f>Input!C138/Input!C$34</f>
        <v>0.68439315754710106</v>
      </c>
      <c r="H17" s="16">
        <f>Input!D138/Input!D$34</f>
        <v>0.67119054662179378</v>
      </c>
      <c r="I17" s="16">
        <f>Input!E138/Input!E$34</f>
        <v>0.66469642867142387</v>
      </c>
      <c r="J17" s="16">
        <f>Input!F138/Input!F$34</f>
        <v>0.59350199288991434</v>
      </c>
      <c r="K17" s="16">
        <f>Input!G138/Input!G$34</f>
        <v>0.7408244849332728</v>
      </c>
      <c r="L17" s="16">
        <f>Input!H138/Input!H$34</f>
        <v>0</v>
      </c>
      <c r="M17" s="16">
        <f>Input!I138/Input!I$34</f>
        <v>0</v>
      </c>
      <c r="N17" s="16">
        <f>Input!J138/Input!J$34</f>
        <v>0</v>
      </c>
      <c r="O17" s="6">
        <f t="shared" si="1"/>
        <v>0.5315041033871315</v>
      </c>
    </row>
    <row r="18" spans="2:15" ht="12" customHeight="1" x14ac:dyDescent="0.2">
      <c r="B18" t="s">
        <v>186</v>
      </c>
      <c r="E18" s="16">
        <f>Input!A139/Input!A$34</f>
        <v>0.83757122010365137</v>
      </c>
      <c r="F18" s="16">
        <f>Input!B139/Input!B$34</f>
        <v>0.89723896478192855</v>
      </c>
      <c r="G18" s="16">
        <f>Input!C139/Input!C$34</f>
        <v>0.85039258370312498</v>
      </c>
      <c r="H18" s="16">
        <f>Input!D139/Input!D$34</f>
        <v>0.82076026910298716</v>
      </c>
      <c r="I18" s="16">
        <f>Input!E139/Input!E$34</f>
        <v>1.3720580357226186</v>
      </c>
      <c r="J18" s="16">
        <f>Input!F139/Input!F$34</f>
        <v>0.66425582985844411</v>
      </c>
      <c r="K18" s="16">
        <f>Input!G139/Input!G$34</f>
        <v>2.551410884791697</v>
      </c>
      <c r="L18" s="16">
        <f>Input!H139/Input!H$34</f>
        <v>0.79739693042257453</v>
      </c>
      <c r="M18" s="16">
        <f>Input!I139/Input!I$34</f>
        <v>1.5278972092103171</v>
      </c>
      <c r="N18" s="16">
        <f>Input!J139/Input!J$34</f>
        <v>0.95022685303251453</v>
      </c>
      <c r="O18" s="6">
        <f t="shared" si="1"/>
        <v>1.126920878072986</v>
      </c>
    </row>
    <row r="19" spans="2:15" ht="12" customHeight="1" x14ac:dyDescent="0.2">
      <c r="B19" t="s">
        <v>311</v>
      </c>
      <c r="E19" s="16">
        <f>E20-SUM(E15:E18)</f>
        <v>0</v>
      </c>
      <c r="F19" s="16">
        <f t="shared" ref="F19:N19" si="2">F20-SUM(F15:F18)</f>
        <v>0</v>
      </c>
      <c r="G19" s="16">
        <f t="shared" si="2"/>
        <v>0</v>
      </c>
      <c r="H19" s="16">
        <f t="shared" si="2"/>
        <v>1.7659465281306019E-2</v>
      </c>
      <c r="I19" s="16">
        <f t="shared" si="2"/>
        <v>0</v>
      </c>
      <c r="J19" s="16">
        <f t="shared" si="2"/>
        <v>0</v>
      </c>
      <c r="K19" s="16">
        <f t="shared" si="2"/>
        <v>0</v>
      </c>
      <c r="L19" s="16">
        <f t="shared" si="2"/>
        <v>2.9427200281466614E-2</v>
      </c>
      <c r="M19" s="16">
        <f t="shared" si="2"/>
        <v>0</v>
      </c>
      <c r="N19" s="16">
        <f t="shared" si="2"/>
        <v>0</v>
      </c>
      <c r="O19" s="6">
        <f t="shared" si="1"/>
        <v>4.7086665562772632E-3</v>
      </c>
    </row>
    <row r="20" spans="2:15" ht="12.75" customHeight="1" x14ac:dyDescent="0.2">
      <c r="B20" s="28" t="s">
        <v>187</v>
      </c>
      <c r="E20" s="8">
        <f>Input!A141/Input!A$34</f>
        <v>3.2841258302305865</v>
      </c>
      <c r="F20" s="8">
        <f>Input!B141/Input!B$34</f>
        <v>4.3570218924536643</v>
      </c>
      <c r="G20" s="8">
        <f>Input!C141/Input!C$34</f>
        <v>3.6616105234759475</v>
      </c>
      <c r="H20" s="8">
        <f>Input!D141/Input!D$34</f>
        <v>3.6042174273021779</v>
      </c>
      <c r="I20" s="8">
        <f>Input!E141/Input!E$34</f>
        <v>4.1035091092242046</v>
      </c>
      <c r="J20" s="8">
        <f>Input!F141/Input!F$34</f>
        <v>2.9854151424526401</v>
      </c>
      <c r="K20" s="8">
        <f>Input!G141/Input!G$34</f>
        <v>5.082470119206147</v>
      </c>
      <c r="L20" s="8">
        <f>Input!H141/Input!H$34</f>
        <v>3.0233811306324281</v>
      </c>
      <c r="M20" s="8">
        <f>Input!I141/Input!I$34</f>
        <v>4.4798530627409816</v>
      </c>
      <c r="N20" s="8">
        <f>Input!J141/Input!J$34</f>
        <v>2.6955882805109872</v>
      </c>
      <c r="O20" s="8">
        <f t="shared" si="1"/>
        <v>3.7277192518229767</v>
      </c>
    </row>
    <row r="21" spans="2:15" ht="3" customHeight="1" x14ac:dyDescent="0.2">
      <c r="B21" s="19"/>
      <c r="E21" s="6"/>
      <c r="F21" s="6"/>
      <c r="G21" s="6"/>
      <c r="H21" s="6"/>
      <c r="I21" s="6"/>
      <c r="J21" s="6"/>
      <c r="K21" s="6"/>
      <c r="L21" s="6"/>
      <c r="M21" s="6"/>
      <c r="N21" s="6"/>
      <c r="O21" s="6"/>
    </row>
    <row r="22" spans="2:15" ht="12" customHeight="1" x14ac:dyDescent="0.2">
      <c r="B22" t="s">
        <v>304</v>
      </c>
      <c r="E22" s="16">
        <f>Input!A202/Input!A$34</f>
        <v>0.26883241949848169</v>
      </c>
      <c r="F22" s="16">
        <f>Input!B202/Input!B$34</f>
        <v>0.53838894671308768</v>
      </c>
      <c r="G22" s="16">
        <f>Input!C202/Input!C$34</f>
        <v>0.10105835532986972</v>
      </c>
      <c r="H22" s="16">
        <f>Input!D202/Input!D$34</f>
        <v>7.9652863243737673E-2</v>
      </c>
      <c r="I22" s="16">
        <f>Input!E202/Input!E$34</f>
        <v>0.19617487868781874</v>
      </c>
      <c r="J22" s="16">
        <f>Input!F202/Input!F$34</f>
        <v>3.5037437434553974E-2</v>
      </c>
      <c r="K22" s="16">
        <f>Input!G202/Input!G$34</f>
        <v>0.12922232547038268</v>
      </c>
      <c r="L22" s="16">
        <f>Input!H202/Input!H$34</f>
        <v>4.9902416934451257E-2</v>
      </c>
      <c r="M22" s="16">
        <f>Input!I202/Input!I$34</f>
        <v>5.2598626310739194E-2</v>
      </c>
      <c r="N22" s="16">
        <f>Input!J202/Input!J$34</f>
        <v>1.802421046824781</v>
      </c>
      <c r="O22" s="6">
        <f t="shared" si="1"/>
        <v>0.32532893164479038</v>
      </c>
    </row>
    <row r="23" spans="2:15" ht="12" customHeight="1" x14ac:dyDescent="0.2">
      <c r="B23" t="s">
        <v>305</v>
      </c>
      <c r="E23" s="16">
        <f>Input!A203/Input!A$34</f>
        <v>4.3031296608259924</v>
      </c>
      <c r="F23" s="16">
        <f>Input!B203/Input!B$34</f>
        <v>4.7885825221071014</v>
      </c>
      <c r="G23" s="16">
        <f>Input!C203/Input!C$34</f>
        <v>4.1411673318262592</v>
      </c>
      <c r="H23" s="16">
        <f>Input!D203/Input!D$34</f>
        <v>3.0792693120504349</v>
      </c>
      <c r="I23" s="16">
        <f>Input!E203/Input!E$34</f>
        <v>3.4193016873266022</v>
      </c>
      <c r="J23" s="16">
        <f>Input!F203/Input!F$34</f>
        <v>2.6061416701567466</v>
      </c>
      <c r="K23" s="16">
        <f>Input!G203/Input!G$34</f>
        <v>2.1906361982565468</v>
      </c>
      <c r="L23" s="16">
        <f>Input!H203/Input!H$34</f>
        <v>2.6404085494924354</v>
      </c>
      <c r="M23" s="16">
        <f>Input!I203/Input!I$34</f>
        <v>1.4879721546743172</v>
      </c>
      <c r="N23" s="16">
        <f>Input!J203/Input!J$34</f>
        <v>2.8921833146135496</v>
      </c>
      <c r="O23" s="6">
        <f t="shared" si="1"/>
        <v>3.1548792401329986</v>
      </c>
    </row>
    <row r="24" spans="2:15" ht="12" customHeight="1" x14ac:dyDescent="0.2">
      <c r="B24" t="s">
        <v>306</v>
      </c>
      <c r="E24" s="16">
        <f>Input!A204/Input!A$34</f>
        <v>0</v>
      </c>
      <c r="F24" s="16">
        <f>Input!B204/Input!B$34</f>
        <v>0</v>
      </c>
      <c r="G24" s="16">
        <f>Input!C204/Input!C$34</f>
        <v>1.9812061201537237E-2</v>
      </c>
      <c r="H24" s="16">
        <f>Input!D204/Input!D$34</f>
        <v>0.15822038194758992</v>
      </c>
      <c r="I24" s="16">
        <f>Input!E204/Input!E$34</f>
        <v>4.5835752110635957E-3</v>
      </c>
      <c r="J24" s="16">
        <f>Input!F204/Input!F$34</f>
        <v>3.7313659560706796E-3</v>
      </c>
      <c r="K24" s="16">
        <f>Input!G204/Input!G$34</f>
        <v>1.2336714707443184E-2</v>
      </c>
      <c r="L24" s="16">
        <f>Input!H204/Input!H$34</f>
        <v>0</v>
      </c>
      <c r="M24" s="16">
        <f>Input!I204/Input!I$34</f>
        <v>0</v>
      </c>
      <c r="N24" s="16">
        <f>Input!J204/Input!J$34</f>
        <v>0.48625034138736206</v>
      </c>
      <c r="O24" s="6">
        <f t="shared" si="1"/>
        <v>6.849344404110666E-2</v>
      </c>
    </row>
    <row r="25" spans="2:15" ht="12" customHeight="1" x14ac:dyDescent="0.2">
      <c r="B25" t="s">
        <v>307</v>
      </c>
      <c r="E25" s="16">
        <f>Input!A205/Input!A$34</f>
        <v>0.90108882260158585</v>
      </c>
      <c r="F25" s="16">
        <f>Input!B205/Input!B$34</f>
        <v>0.28404488216152851</v>
      </c>
      <c r="G25" s="16">
        <f>Input!C205/Input!C$34</f>
        <v>0.19871771331988816</v>
      </c>
      <c r="H25" s="16">
        <f>Input!D205/Input!D$34</f>
        <v>0.22776905682468934</v>
      </c>
      <c r="I25" s="16">
        <f>Input!E205/Input!E$34</f>
        <v>0.52408430224418978</v>
      </c>
      <c r="J25" s="16">
        <f>Input!F205/Input!F$34</f>
        <v>0.20416100020996739</v>
      </c>
      <c r="K25" s="16">
        <f>Input!G205/Input!G$34</f>
        <v>0.22055679052030164</v>
      </c>
      <c r="L25" s="16">
        <f>Input!H205/Input!H$34</f>
        <v>0.32758394630691284</v>
      </c>
      <c r="M25" s="16">
        <f>Input!I205/Input!I$34</f>
        <v>0.30685395000759791</v>
      </c>
      <c r="N25" s="16">
        <f>Input!J205/Input!J$34</f>
        <v>0.42313980061169382</v>
      </c>
      <c r="O25" s="6">
        <f t="shared" si="1"/>
        <v>0.36180002648083548</v>
      </c>
    </row>
    <row r="26" spans="2:15" ht="12" customHeight="1" x14ac:dyDescent="0.2">
      <c r="B26" t="s">
        <v>308</v>
      </c>
      <c r="E26" s="16">
        <f>E27-SUM(E22:E25)</f>
        <v>1.2667120454521061</v>
      </c>
      <c r="F26" s="16">
        <f t="shared" ref="F26:N26" si="3">F27-SUM(F22:F25)</f>
        <v>2.2326711970231523</v>
      </c>
      <c r="G26" s="16">
        <f t="shared" si="3"/>
        <v>0.3774027880395634</v>
      </c>
      <c r="H26" s="16">
        <f t="shared" si="3"/>
        <v>0.47206278788801104</v>
      </c>
      <c r="I26" s="16">
        <f t="shared" si="3"/>
        <v>0.35172923133590572</v>
      </c>
      <c r="J26" s="16">
        <f t="shared" si="3"/>
        <v>0.48565459080324791</v>
      </c>
      <c r="K26" s="16">
        <f t="shared" si="3"/>
        <v>0.55814966715960823</v>
      </c>
      <c r="L26" s="16">
        <f t="shared" si="3"/>
        <v>0.47432895694127364</v>
      </c>
      <c r="M26" s="16">
        <f t="shared" si="3"/>
        <v>0.61791124302438605</v>
      </c>
      <c r="N26" s="16">
        <f t="shared" si="3"/>
        <v>0.28704425917585841</v>
      </c>
      <c r="O26" s="6">
        <f t="shared" si="1"/>
        <v>0.7123666766843112</v>
      </c>
    </row>
    <row r="27" spans="2:15" ht="12.75" customHeight="1" x14ac:dyDescent="0.2">
      <c r="B27" s="28" t="s">
        <v>188</v>
      </c>
      <c r="E27" s="8">
        <f>Input!A142/Input!A$34</f>
        <v>6.739762948378166</v>
      </c>
      <c r="F27" s="8">
        <f>Input!B142/Input!B$34</f>
        <v>7.84368754800487</v>
      </c>
      <c r="G27" s="8">
        <f>Input!C142/Input!C$34</f>
        <v>4.8381582497171172</v>
      </c>
      <c r="H27" s="8">
        <f>Input!D142/Input!D$34</f>
        <v>4.0169744019544629</v>
      </c>
      <c r="I27" s="8">
        <f>Input!E142/Input!E$34</f>
        <v>4.4958736748055799</v>
      </c>
      <c r="J27" s="8">
        <f>Input!F142/Input!F$34</f>
        <v>3.3347260645605861</v>
      </c>
      <c r="K27" s="8">
        <f>Input!G142/Input!G$34</f>
        <v>3.1109016961142824</v>
      </c>
      <c r="L27" s="8">
        <f>Input!H142/Input!H$34</f>
        <v>3.4922238696750734</v>
      </c>
      <c r="M27" s="8">
        <f>Input!I142/Input!I$34</f>
        <v>2.4653359740170404</v>
      </c>
      <c r="N27" s="8">
        <f>Input!J142/Input!J$34</f>
        <v>5.8910387626132454</v>
      </c>
      <c r="O27" s="8">
        <f>AVERAGE(E27:N27)</f>
        <v>4.6228683189840423</v>
      </c>
    </row>
    <row r="28" spans="2:15" ht="3" customHeight="1" x14ac:dyDescent="0.2">
      <c r="B28" s="19"/>
      <c r="E28" s="6"/>
      <c r="F28" s="6"/>
      <c r="G28" s="6"/>
      <c r="H28" s="6"/>
      <c r="I28" s="6"/>
      <c r="J28" s="6"/>
      <c r="K28" s="6"/>
      <c r="L28" s="6"/>
      <c r="M28" s="6"/>
      <c r="N28" s="6"/>
      <c r="O28" s="6"/>
    </row>
    <row r="29" spans="2:15" ht="12" customHeight="1" x14ac:dyDescent="0.2">
      <c r="B29" t="s">
        <v>189</v>
      </c>
      <c r="E29" s="16">
        <f>Input!A143/Input!A$34</f>
        <v>2.2250403714711848</v>
      </c>
      <c r="F29" s="16">
        <f>Input!B143/Input!B$34</f>
        <v>2.3684717603163881</v>
      </c>
      <c r="G29" s="16">
        <f>Input!C143/Input!C$34</f>
        <v>2.6049725636969265</v>
      </c>
      <c r="H29" s="16">
        <f>Input!D143/Input!D$34</f>
        <v>1.3930687156438202</v>
      </c>
      <c r="I29" s="16">
        <f>Input!E143/Input!E$34</f>
        <v>0.65329323918301008</v>
      </c>
      <c r="J29" s="16">
        <f>Input!F143/Input!F$34</f>
        <v>0.9559071840581409</v>
      </c>
      <c r="K29" s="16">
        <f>Input!G143/Input!G$34</f>
        <v>1.0400685642261995</v>
      </c>
      <c r="L29" s="16">
        <f>Input!H143/Input!H$34</f>
        <v>1.0466726567628997</v>
      </c>
      <c r="M29" s="16">
        <f>Input!I143/Input!I$34</f>
        <v>5.2077847832415043E-2</v>
      </c>
      <c r="N29" s="16">
        <f>Input!J143/Input!J$34</f>
        <v>3.8547380948505225E-2</v>
      </c>
      <c r="O29" s="16">
        <f t="shared" ref="O29:O35" si="4">AVERAGE(E29:N29)</f>
        <v>1.2378120284139491</v>
      </c>
    </row>
    <row r="30" spans="2:15" ht="12" customHeight="1" x14ac:dyDescent="0.2">
      <c r="B30" t="s">
        <v>309</v>
      </c>
      <c r="E30" s="16">
        <f>Input!A207/Input!A$34</f>
        <v>0.20381074498106161</v>
      </c>
      <c r="F30" s="16">
        <f>Input!B207/Input!B$34</f>
        <v>0.19655083351406683</v>
      </c>
      <c r="G30" s="16">
        <f>Input!C207/Input!C$34</f>
        <v>0.18459463945510285</v>
      </c>
      <c r="H30" s="16">
        <f>Input!D207/Input!D$34</f>
        <v>1.3296276133065372</v>
      </c>
      <c r="I30" s="16">
        <f>Input!E207/Input!E$34</f>
        <v>1.3724913312888054</v>
      </c>
      <c r="J30" s="16">
        <f>Input!F207/Input!F$34</f>
        <v>0.9198275611802913</v>
      </c>
      <c r="K30" s="16">
        <f>Input!G207/Input!G$34</f>
        <v>0.2233013523194208</v>
      </c>
      <c r="L30" s="16">
        <f>Input!H207/Input!H$34</f>
        <v>0.19755323265879488</v>
      </c>
      <c r="M30" s="16">
        <f>Input!I207/Input!I$34</f>
        <v>0</v>
      </c>
      <c r="N30" s="16">
        <f>Input!J207/Input!J$34</f>
        <v>0</v>
      </c>
      <c r="O30" s="16">
        <f t="shared" si="4"/>
        <v>0.46277573087040808</v>
      </c>
    </row>
    <row r="31" spans="2:15" ht="12" customHeight="1" x14ac:dyDescent="0.2">
      <c r="B31" t="s">
        <v>190</v>
      </c>
      <c r="E31" s="16">
        <f>Input!A144/Input!A$34</f>
        <v>0</v>
      </c>
      <c r="F31" s="16">
        <f>Input!B144/Input!B$34</f>
        <v>1.5797889835407811E-2</v>
      </c>
      <c r="G31" s="16">
        <f>Input!C144/Input!C$34</f>
        <v>1.4292852361989792E-2</v>
      </c>
      <c r="H31" s="16">
        <f>Input!D144/Input!D$34</f>
        <v>1.4470227814537693E-2</v>
      </c>
      <c r="I31" s="16">
        <f>Input!E144/Input!E$34</f>
        <v>1.4532574008363523E-2</v>
      </c>
      <c r="J31" s="16">
        <f>Input!F144/Input!F$34</f>
        <v>1.3138715535134432E-2</v>
      </c>
      <c r="K31" s="16">
        <f>Input!G144/Input!G$34</f>
        <v>6.1617450431164546E-2</v>
      </c>
      <c r="L31" s="16">
        <f>Input!H144/Input!H$34</f>
        <v>0.15048123614702053</v>
      </c>
      <c r="M31" s="16">
        <f>Input!I144/Input!I$34</f>
        <v>2.2689813067731129E-2</v>
      </c>
      <c r="N31" s="16">
        <f>Input!J144/Input!J$34</f>
        <v>6.0917861748518244E-2</v>
      </c>
      <c r="O31" s="16">
        <f t="shared" si="4"/>
        <v>3.6793862094986765E-2</v>
      </c>
    </row>
    <row r="32" spans="2:15" ht="12" customHeight="1" x14ac:dyDescent="0.2">
      <c r="B32" t="s">
        <v>310</v>
      </c>
      <c r="E32" s="16">
        <f>Input!A208/Input!A$34</f>
        <v>1.4887818277412362E-3</v>
      </c>
      <c r="F32" s="16">
        <f>Input!B208/Input!B$34</f>
        <v>4.0588934617585264E-3</v>
      </c>
      <c r="G32" s="16">
        <f>Input!C208/Input!C$34</f>
        <v>2.4481398299130374E-3</v>
      </c>
      <c r="H32" s="16">
        <f>Input!D208/Input!D$34</f>
        <v>2.478521442990227E-3</v>
      </c>
      <c r="I32" s="16">
        <f>Input!E208/Input!E$34</f>
        <v>2.4887740734449671E-3</v>
      </c>
      <c r="J32" s="16">
        <f>Input!F208/Input!F$34</f>
        <v>3.9593369891215285E-3</v>
      </c>
      <c r="K32" s="16">
        <f>Input!G208/Input!G$34</f>
        <v>3.491243387264803E-2</v>
      </c>
      <c r="L32" s="16">
        <f>Input!H208/Input!H$34</f>
        <v>2.3518241983189869E-3</v>
      </c>
      <c r="M32" s="16">
        <f>Input!I208/Input!I$34</f>
        <v>3.886406554657839E-3</v>
      </c>
      <c r="N32" s="16">
        <f>Input!J208/Input!J$34</f>
        <v>0.12861791474268891</v>
      </c>
      <c r="O32" s="16">
        <f t="shared" si="4"/>
        <v>1.8669102699328331E-2</v>
      </c>
    </row>
    <row r="33" spans="2:15" ht="12" customHeight="1" x14ac:dyDescent="0.2">
      <c r="B33" t="s">
        <v>191</v>
      </c>
      <c r="E33" s="16">
        <f>Input!A145/Input!A$34</f>
        <v>4.2582647510112988E-2</v>
      </c>
      <c r="F33" s="16">
        <f>Input!B145/Input!B$34</f>
        <v>8.0937312149336971E-2</v>
      </c>
      <c r="G33" s="16">
        <f>Input!C145/Input!C$34</f>
        <v>9.4555116685688723E-2</v>
      </c>
      <c r="H33" s="16">
        <f>Input!D145/Input!D$34</f>
        <v>0.19216063495753732</v>
      </c>
      <c r="I33" s="16">
        <f>Input!E145/Input!E$34</f>
        <v>0.16450833957082336</v>
      </c>
      <c r="J33" s="16">
        <f>Input!F145/Input!F$34</f>
        <v>0.13492576988608423</v>
      </c>
      <c r="K33" s="16">
        <f>Input!G145/Input!G$34</f>
        <v>9.1160099325057461E-2</v>
      </c>
      <c r="L33" s="16">
        <f>Input!H145/Input!H$34</f>
        <v>0</v>
      </c>
      <c r="M33" s="16">
        <f>Input!I145/Input!I$34</f>
        <v>0</v>
      </c>
      <c r="N33" s="16">
        <f>Input!J145/Input!J$34</f>
        <v>6.2173195078234229E-3</v>
      </c>
      <c r="O33" s="16">
        <f t="shared" si="4"/>
        <v>8.0704723959246438E-2</v>
      </c>
    </row>
    <row r="34" spans="2:15" ht="12" customHeight="1" x14ac:dyDescent="0.2">
      <c r="B34" t="s">
        <v>192</v>
      </c>
      <c r="E34" s="16">
        <f>E35-SUM(E29:E33)</f>
        <v>2.9032586885843426E-2</v>
      </c>
      <c r="F34" s="16">
        <f t="shared" ref="F34:N34" si="5">F35-SUM(F29:F33)</f>
        <v>2.8454331427862911E-2</v>
      </c>
      <c r="G34" s="16">
        <f t="shared" si="5"/>
        <v>2.6236347336203281E-2</v>
      </c>
      <c r="H34" s="16">
        <f t="shared" si="5"/>
        <v>2.4785214429901892E-2</v>
      </c>
      <c r="I34" s="16">
        <f t="shared" si="5"/>
        <v>0.72121785670509908</v>
      </c>
      <c r="J34" s="16">
        <f t="shared" si="5"/>
        <v>2.2504544230093515E-2</v>
      </c>
      <c r="K34" s="16">
        <f t="shared" si="5"/>
        <v>0</v>
      </c>
      <c r="L34" s="16">
        <f t="shared" si="5"/>
        <v>0</v>
      </c>
      <c r="M34" s="16">
        <f t="shared" si="5"/>
        <v>0</v>
      </c>
      <c r="N34" s="16">
        <f t="shared" si="5"/>
        <v>0</v>
      </c>
      <c r="O34" s="16">
        <f t="shared" si="4"/>
        <v>8.5223088101500408E-2</v>
      </c>
    </row>
    <row r="35" spans="2:15" ht="12.75" customHeight="1" x14ac:dyDescent="0.2">
      <c r="B35" s="28" t="s">
        <v>193</v>
      </c>
      <c r="E35" s="8">
        <f>Input!A147/Input!A$34</f>
        <v>2.5019551326759442</v>
      </c>
      <c r="F35" s="8">
        <f>Input!B147/Input!B$34</f>
        <v>2.6942710207048211</v>
      </c>
      <c r="G35" s="8">
        <f>Input!C147/Input!C$34</f>
        <v>2.9270996593658243</v>
      </c>
      <c r="H35" s="8">
        <f>Input!D147/Input!D$34</f>
        <v>2.9565909275953244</v>
      </c>
      <c r="I35" s="8">
        <f>Input!E147/Input!E$34</f>
        <v>2.9285321148295465</v>
      </c>
      <c r="J35" s="8">
        <f>Input!F147/Input!F$34</f>
        <v>2.0502631118788659</v>
      </c>
      <c r="K35" s="8">
        <f>Input!G147/Input!G$34</f>
        <v>1.4510599001744904</v>
      </c>
      <c r="L35" s="8">
        <f>Input!H147/Input!H$34</f>
        <v>1.3970589497670343</v>
      </c>
      <c r="M35" s="8">
        <f>Input!I147/Input!I$34</f>
        <v>7.8654067454804008E-2</v>
      </c>
      <c r="N35" s="8">
        <f>Input!J147/Input!J$34</f>
        <v>0.23430047694753578</v>
      </c>
      <c r="O35" s="8">
        <f t="shared" si="4"/>
        <v>1.9219785361394195</v>
      </c>
    </row>
    <row r="36" spans="2:15" ht="5.25" customHeight="1" x14ac:dyDescent="0.2">
      <c r="B36" s="19"/>
      <c r="E36" s="8"/>
      <c r="F36" s="8"/>
      <c r="G36" s="8"/>
      <c r="H36" s="8"/>
      <c r="I36" s="8"/>
      <c r="J36" s="8"/>
      <c r="K36" s="8"/>
      <c r="L36" s="8"/>
      <c r="M36" s="8"/>
      <c r="N36" s="8"/>
      <c r="O36" s="6"/>
    </row>
    <row r="37" spans="2:15" ht="12.75" customHeight="1" x14ac:dyDescent="0.2">
      <c r="B37" s="29" t="s">
        <v>194</v>
      </c>
      <c r="E37" s="30">
        <f>+E11+E13+E20+E27+E35</f>
        <v>75.941206127879667</v>
      </c>
      <c r="F37" s="30">
        <f t="shared" ref="F37:N37" si="6">+F11+F13+F20+F27+F35</f>
        <v>83.758518839421626</v>
      </c>
      <c r="G37" s="30">
        <f t="shared" si="6"/>
        <v>77.60109042596163</v>
      </c>
      <c r="H37" s="30">
        <f t="shared" si="6"/>
        <v>72.220240919719828</v>
      </c>
      <c r="I37" s="30">
        <f t="shared" si="6"/>
        <v>64.778951691028652</v>
      </c>
      <c r="J37" s="30">
        <f t="shared" si="6"/>
        <v>63.481544923458657</v>
      </c>
      <c r="K37" s="30">
        <f t="shared" si="6"/>
        <v>67.629387689847761</v>
      </c>
      <c r="L37" s="30">
        <f t="shared" si="6"/>
        <v>65.826377166515158</v>
      </c>
      <c r="M37" s="30">
        <f t="shared" si="6"/>
        <v>67.398764550220349</v>
      </c>
      <c r="N37" s="30">
        <f t="shared" si="6"/>
        <v>75.045825714290885</v>
      </c>
      <c r="O37" s="7">
        <f>AVERAGE(E37:N37)</f>
        <v>71.368190804834427</v>
      </c>
    </row>
    <row r="38" spans="2:15" ht="5.25" customHeight="1" x14ac:dyDescent="0.2">
      <c r="E38" s="7"/>
      <c r="F38" s="7"/>
      <c r="G38" s="7"/>
      <c r="H38" s="7"/>
      <c r="I38" s="7"/>
      <c r="J38" s="7"/>
      <c r="K38" s="7"/>
      <c r="L38" s="7"/>
      <c r="M38" s="7"/>
      <c r="N38" s="7"/>
      <c r="O38" s="6"/>
    </row>
    <row r="39" spans="2:15" ht="12.75" customHeight="1" x14ac:dyDescent="0.2">
      <c r="B39" s="29" t="s">
        <v>195</v>
      </c>
      <c r="E39" s="30">
        <f>Input!A24/Input!A$6</f>
        <v>80.118494913271661</v>
      </c>
      <c r="F39" s="30">
        <f>Input!B24/Input!B$6</f>
        <v>77.477618692339703</v>
      </c>
      <c r="G39" s="30">
        <f>Input!C24/Input!C$6</f>
        <v>61.642802805943177</v>
      </c>
      <c r="H39" s="30">
        <f>Input!D24/Input!D$6</f>
        <v>63.896959758885352</v>
      </c>
      <c r="I39" s="30">
        <f>Input!E24/Input!E$6</f>
        <v>64.60435384070864</v>
      </c>
      <c r="J39" s="30">
        <f>Input!F24/Input!F$6</f>
        <v>57.276566931929672</v>
      </c>
      <c r="K39" s="30">
        <f>Input!G24/Input!G$6</f>
        <v>57.933096141770577</v>
      </c>
      <c r="L39" s="30">
        <f>Input!H24/Input!H$6</f>
        <v>58.753164784174857</v>
      </c>
      <c r="M39" s="30">
        <f>Input!I24/Input!I$6</f>
        <v>57.167906598311447</v>
      </c>
      <c r="N39" s="30">
        <f>Input!J24/Input!J$6</f>
        <v>60.07181702984073</v>
      </c>
      <c r="O39" s="7">
        <f>AVERAGE(E39:N39)</f>
        <v>63.894278149717593</v>
      </c>
    </row>
    <row r="40" spans="2:15" ht="6" customHeight="1" x14ac:dyDescent="0.2">
      <c r="E40" s="6"/>
      <c r="F40" s="6"/>
      <c r="G40" s="6"/>
      <c r="H40" s="6"/>
      <c r="I40" s="6"/>
      <c r="J40" s="6"/>
      <c r="K40" s="6"/>
      <c r="L40" s="6"/>
      <c r="M40" s="6"/>
      <c r="N40" s="6"/>
      <c r="O40" s="6"/>
    </row>
    <row r="41" spans="2:15" ht="12.75" customHeight="1" x14ac:dyDescent="0.2">
      <c r="B41" s="31" t="s">
        <v>73</v>
      </c>
      <c r="C41" s="10"/>
      <c r="D41" s="10"/>
      <c r="E41" s="11">
        <f>+E37-E39</f>
        <v>-4.177288785391994</v>
      </c>
      <c r="F41" s="11">
        <f t="shared" ref="F41:N41" si="7">+F37-F39</f>
        <v>6.2809001470819226</v>
      </c>
      <c r="G41" s="11">
        <f t="shared" si="7"/>
        <v>15.958287620018453</v>
      </c>
      <c r="H41" s="11">
        <f t="shared" si="7"/>
        <v>8.3232811608344761</v>
      </c>
      <c r="I41" s="11">
        <f t="shared" si="7"/>
        <v>0.17459785032001207</v>
      </c>
      <c r="J41" s="11">
        <f t="shared" si="7"/>
        <v>6.2049779915289847</v>
      </c>
      <c r="K41" s="11">
        <f t="shared" si="7"/>
        <v>9.6962915480771841</v>
      </c>
      <c r="L41" s="11">
        <f t="shared" si="7"/>
        <v>7.0732123823403015</v>
      </c>
      <c r="M41" s="11">
        <f t="shared" si="7"/>
        <v>10.230857951908902</v>
      </c>
      <c r="N41" s="11">
        <f t="shared" si="7"/>
        <v>14.974008684450155</v>
      </c>
      <c r="O41" s="11">
        <f>AVERAGE(E41:N41)</f>
        <v>7.4739126551168393</v>
      </c>
    </row>
    <row r="42" spans="2:15" ht="6" customHeight="1" x14ac:dyDescent="0.2">
      <c r="E42" s="6"/>
      <c r="F42" s="6"/>
      <c r="G42" s="6"/>
      <c r="H42" s="6"/>
      <c r="I42" s="6"/>
      <c r="J42" s="6"/>
      <c r="K42" s="6"/>
      <c r="L42" s="6"/>
      <c r="M42" s="6"/>
      <c r="N42" s="6"/>
      <c r="O42" s="6"/>
    </row>
    <row r="43" spans="2:15" s="4" customFormat="1" ht="12.75" customHeight="1" x14ac:dyDescent="0.2">
      <c r="B43" s="4" t="s">
        <v>70</v>
      </c>
      <c r="E43" s="8">
        <f>(Input!A25+Input!A26)/Input!A$6</f>
        <v>2.2731565419481936</v>
      </c>
      <c r="F43" s="8">
        <f>(Input!B25+Input!B26)/Input!B$6</f>
        <v>2.4773394837654421</v>
      </c>
      <c r="G43" s="8">
        <f>(Input!C25+Input!C26)/Input!C$6</f>
        <v>2.0097994679249069</v>
      </c>
      <c r="H43" s="8">
        <f>(Input!D25+Input!D26)/Input!D$6</f>
        <v>2.0581263808538628</v>
      </c>
      <c r="I43" s="8">
        <f>(Input!E25+Input!E26)/Input!E$6</f>
        <v>2.1102690144598699</v>
      </c>
      <c r="J43" s="8">
        <f>(Input!F25+Input!F26)/Input!F$6</f>
        <v>1.9940480130552434</v>
      </c>
      <c r="K43" s="8">
        <f>(Input!G25+Input!G26)/Input!G$6</f>
        <v>2.0386378915121846</v>
      </c>
      <c r="L43" s="8">
        <f>(Input!H25+Input!H26)/Input!H$6</f>
        <v>2.1421216191464678</v>
      </c>
      <c r="M43" s="8">
        <f>(Input!I25+Input!I26)/Input!I$6</f>
        <v>2.2761593816825192</v>
      </c>
      <c r="N43" s="8">
        <f>(Input!J25+Input!J26)/Input!J$6</f>
        <v>2.2999703083459635</v>
      </c>
      <c r="O43" s="8">
        <f>AVERAGE(E43:N43)</f>
        <v>2.167962810269465</v>
      </c>
    </row>
    <row r="44" spans="2:15" ht="6" customHeight="1" x14ac:dyDescent="0.2">
      <c r="E44" s="17"/>
      <c r="F44" s="17"/>
      <c r="G44" s="17"/>
      <c r="H44" s="17"/>
      <c r="I44" s="17"/>
      <c r="J44" s="17"/>
      <c r="K44" s="17"/>
      <c r="L44" s="17"/>
      <c r="M44" s="17"/>
      <c r="N44" s="17"/>
      <c r="O44" s="6"/>
    </row>
    <row r="45" spans="2:15" x14ac:dyDescent="0.2">
      <c r="B45" s="9" t="s">
        <v>74</v>
      </c>
      <c r="C45" s="10"/>
      <c r="D45" s="10"/>
      <c r="E45" s="11">
        <f>+E41-E43</f>
        <v>-6.4504453273401872</v>
      </c>
      <c r="F45" s="11">
        <f t="shared" ref="F45:N45" si="8">+F41-F43</f>
        <v>3.8035606633164805</v>
      </c>
      <c r="G45" s="11">
        <f t="shared" si="8"/>
        <v>13.948488152093546</v>
      </c>
      <c r="H45" s="11">
        <f t="shared" si="8"/>
        <v>6.2651547799806133</v>
      </c>
      <c r="I45" s="11">
        <f t="shared" si="8"/>
        <v>-1.9356711641398578</v>
      </c>
      <c r="J45" s="11">
        <f t="shared" si="8"/>
        <v>4.2109299784737413</v>
      </c>
      <c r="K45" s="11">
        <f t="shared" si="8"/>
        <v>7.6576536565649995</v>
      </c>
      <c r="L45" s="11">
        <f t="shared" si="8"/>
        <v>4.9310907631938337</v>
      </c>
      <c r="M45" s="11">
        <f t="shared" si="8"/>
        <v>7.954698570226383</v>
      </c>
      <c r="N45" s="11">
        <f t="shared" si="8"/>
        <v>12.674038376104191</v>
      </c>
      <c r="O45" s="11">
        <f>AVERAGE(E45:N45)</f>
        <v>5.3059498448473743</v>
      </c>
    </row>
  </sheetData>
  <mergeCells count="3">
    <mergeCell ref="D1:M1"/>
    <mergeCell ref="D2:M2"/>
    <mergeCell ref="D3:M3"/>
  </mergeCells>
  <phoneticPr fontId="0" type="noConversion"/>
  <printOptions horizontalCentered="1"/>
  <pageMargins left="0.78740157480314965" right="0.78740157480314965" top="0.78740157480314965" bottom="0.78740157480314965" header="0.43307086614173229" footer="0.43307086614173229"/>
  <pageSetup paperSize="9" orientation="landscape" r:id="rId1"/>
  <headerFooter alignWithMargins="0">
    <oddFooter>&amp;L&amp;8BOKU / HVLFÖ&amp;C&amp;8DVR-Nr: 0890723 &amp;R&amp;8&amp;D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O45"/>
  <sheetViews>
    <sheetView workbookViewId="0">
      <selection activeCell="D2" sqref="D2:M2"/>
    </sheetView>
  </sheetViews>
  <sheetFormatPr baseColWidth="10" defaultRowHeight="12.75" x14ac:dyDescent="0.2"/>
  <cols>
    <col min="1" max="1" width="0.7109375" customWidth="1"/>
    <col min="2" max="2" width="10.28515625" customWidth="1"/>
    <col min="3" max="3" width="8.7109375" customWidth="1"/>
    <col min="4" max="4" width="9.7109375" customWidth="1"/>
    <col min="5" max="10" width="8.7109375" customWidth="1"/>
    <col min="11" max="11" width="8.85546875" customWidth="1"/>
    <col min="12" max="14" width="8.7109375" customWidth="1"/>
    <col min="15" max="15" width="10.7109375" customWidth="1"/>
  </cols>
  <sheetData>
    <row r="1" spans="1:15" ht="15.75" customHeight="1" x14ac:dyDescent="0.25">
      <c r="A1" t="s">
        <v>48</v>
      </c>
      <c r="C1" s="12">
        <f>Input!A3</f>
        <v>2024</v>
      </c>
      <c r="D1" s="36" t="s">
        <v>177</v>
      </c>
      <c r="E1" s="36"/>
      <c r="F1" s="36"/>
      <c r="G1" s="36"/>
      <c r="H1" s="36"/>
      <c r="I1" s="36"/>
      <c r="J1" s="36"/>
      <c r="K1" s="36"/>
      <c r="L1" s="36"/>
      <c r="M1" s="36"/>
      <c r="O1" s="3" t="s">
        <v>202</v>
      </c>
    </row>
    <row r="2" spans="1:15" ht="15.75" customHeight="1" x14ac:dyDescent="0.2">
      <c r="D2" s="37" t="str">
        <f>Kenndat!D2</f>
        <v>Produktionsgebiet 1: Alpenvorland</v>
      </c>
      <c r="E2" s="37"/>
      <c r="F2" s="37"/>
      <c r="G2" s="37"/>
      <c r="H2" s="37"/>
      <c r="I2" s="37"/>
      <c r="J2" s="37"/>
      <c r="K2" s="37"/>
      <c r="L2" s="37"/>
      <c r="M2" s="37"/>
      <c r="N2" s="5"/>
    </row>
    <row r="3" spans="1:15" ht="15.75" customHeight="1" x14ac:dyDescent="0.2">
      <c r="D3" s="38" t="s">
        <v>170</v>
      </c>
      <c r="E3" s="38"/>
      <c r="F3" s="38"/>
      <c r="G3" s="38"/>
      <c r="H3" s="38"/>
      <c r="I3" s="38"/>
      <c r="J3" s="38"/>
      <c r="K3" s="38"/>
      <c r="L3" s="38"/>
      <c r="M3" s="38"/>
      <c r="N3" s="2"/>
    </row>
    <row r="4" spans="1:15" ht="9" customHeight="1" x14ac:dyDescent="0.2"/>
    <row r="5" spans="1:15" ht="12.75" customHeight="1" x14ac:dyDescent="0.2">
      <c r="E5" s="3">
        <f>Input!A3</f>
        <v>2024</v>
      </c>
      <c r="F5" s="3">
        <f t="shared" ref="F5:N5" si="0">+E5-1</f>
        <v>2023</v>
      </c>
      <c r="G5" s="3">
        <f t="shared" si="0"/>
        <v>2022</v>
      </c>
      <c r="H5" s="3">
        <f t="shared" si="0"/>
        <v>2021</v>
      </c>
      <c r="I5" s="3">
        <f t="shared" si="0"/>
        <v>2020</v>
      </c>
      <c r="J5" s="3">
        <f t="shared" si="0"/>
        <v>2019</v>
      </c>
      <c r="K5" s="3">
        <f t="shared" si="0"/>
        <v>2018</v>
      </c>
      <c r="L5" s="3">
        <f t="shared" si="0"/>
        <v>2017</v>
      </c>
      <c r="M5" s="3">
        <f t="shared" si="0"/>
        <v>2016</v>
      </c>
      <c r="N5" s="3">
        <f t="shared" si="0"/>
        <v>2015</v>
      </c>
      <c r="O5" s="3" t="s">
        <v>16</v>
      </c>
    </row>
    <row r="6" spans="1:15" ht="7.5" customHeight="1" x14ac:dyDescent="0.2"/>
    <row r="7" spans="1:15" ht="12" customHeight="1" x14ac:dyDescent="0.2">
      <c r="B7" t="s">
        <v>179</v>
      </c>
      <c r="E7" s="6">
        <f>Input!A149/Input!A$153</f>
        <v>64.185514255478296</v>
      </c>
      <c r="F7" s="6">
        <f>Input!B149/Input!B$153</f>
        <v>68.838768570149512</v>
      </c>
      <c r="G7" s="6">
        <f>Input!C149/Input!C$153</f>
        <v>69.132654111876903</v>
      </c>
      <c r="H7" s="6">
        <f>Input!D149/Input!D$153</f>
        <v>61.554900763240674</v>
      </c>
      <c r="I7" s="6">
        <f>Input!E149/Input!E$153</f>
        <v>54.430836415052234</v>
      </c>
      <c r="J7" s="6">
        <f>Input!F149/Input!F$153</f>
        <v>54.154725000250345</v>
      </c>
      <c r="K7" s="6">
        <f>Input!G149/Input!G$153</f>
        <v>57.201460362103127</v>
      </c>
      <c r="L7" s="6">
        <f>Input!H149/Input!H$153</f>
        <v>57.780314758414718</v>
      </c>
      <c r="M7" s="6">
        <f>Input!I149/Input!I$153</f>
        <v>56.725914608577767</v>
      </c>
      <c r="N7" s="6">
        <f>Input!J149/Input!J$153</f>
        <v>65.247436997442762</v>
      </c>
      <c r="O7" s="6">
        <f>AVERAGE(E7:N7)</f>
        <v>60.925252584258622</v>
      </c>
    </row>
    <row r="8" spans="1:15" ht="12" customHeight="1" x14ac:dyDescent="0.2">
      <c r="B8" t="s">
        <v>180</v>
      </c>
      <c r="E8" s="6">
        <f>Input!A150/Input!A$153</f>
        <v>0.99450943404731584</v>
      </c>
      <c r="F8" s="6">
        <f>Input!B150/Input!B$153</f>
        <v>1.0150796319367377</v>
      </c>
      <c r="G8" s="6">
        <f>Input!C150/Input!C$153</f>
        <v>-2.3703331864596242</v>
      </c>
      <c r="H8" s="6">
        <f>Input!D150/Input!D$153</f>
        <v>0.36913716311033212</v>
      </c>
      <c r="I8" s="6">
        <f>Input!E150/Input!E$153</f>
        <v>-1.0537055997556812</v>
      </c>
      <c r="J8" s="6">
        <f>Input!F150/Input!F$153</f>
        <v>0.7881557056350379</v>
      </c>
      <c r="K8" s="6">
        <f>Input!G150/Input!G$153</f>
        <v>0.66271081989689073</v>
      </c>
      <c r="L8" s="6">
        <f>Input!H150/Input!H$153</f>
        <v>-0.50551927021168552</v>
      </c>
      <c r="M8" s="6">
        <f>Input!I150/Input!I$153</f>
        <v>3.4310755330616312</v>
      </c>
      <c r="N8" s="6">
        <f>Input!J150/Input!J$153</f>
        <v>-1.1621888419445046</v>
      </c>
      <c r="O8" s="6">
        <f>AVERAGE(E8:N8)</f>
        <v>0.21689213893164494</v>
      </c>
    </row>
    <row r="9" spans="1:15" ht="12" customHeight="1" x14ac:dyDescent="0.2">
      <c r="B9" t="s">
        <v>181</v>
      </c>
      <c r="E9" s="6">
        <f>Input!A151/Input!A$153</f>
        <v>0.23454128524294227</v>
      </c>
      <c r="F9" s="6">
        <f>Input!B151/Input!B$153</f>
        <v>9.8195769591827617E-2</v>
      </c>
      <c r="G9" s="6">
        <f>Input!C151/Input!C$153</f>
        <v>0.17601859695371919</v>
      </c>
      <c r="H9" s="6">
        <f>Input!D151/Input!D$153</f>
        <v>0.20725926267774061</v>
      </c>
      <c r="I9" s="6">
        <f>Input!E151/Input!E$153</f>
        <v>1.4923170741256989E-2</v>
      </c>
      <c r="J9" s="6">
        <f>Input!F151/Input!F$153</f>
        <v>0.13721400536261552</v>
      </c>
      <c r="K9" s="6">
        <f>Input!G151/Input!G$153</f>
        <v>6.8686437096789343E-2</v>
      </c>
      <c r="L9" s="6">
        <f>Input!H151/Input!H$153</f>
        <v>0.50760095083902834</v>
      </c>
      <c r="M9" s="6">
        <f>Input!I151/Input!I$153</f>
        <v>7.7233249904401682E-2</v>
      </c>
      <c r="N9" s="6">
        <f>Input!J151/Input!J$153</f>
        <v>0.1704585503695297</v>
      </c>
      <c r="O9" s="6">
        <f>AVERAGE(E9:N9)</f>
        <v>0.16921312787798512</v>
      </c>
    </row>
    <row r="10" spans="1:15" ht="12" customHeight="1" x14ac:dyDescent="0.2">
      <c r="B10" t="s">
        <v>182</v>
      </c>
      <c r="E10" s="6">
        <f>Input!A152/Input!A$153</f>
        <v>-0.34390342076855984</v>
      </c>
      <c r="F10" s="6">
        <f>Input!B152/Input!B$153</f>
        <v>-0.23152871420806342</v>
      </c>
      <c r="G10" s="6">
        <f>Input!C152/Input!C$153</f>
        <v>-0.22538483107327942</v>
      </c>
      <c r="H10" s="6">
        <f>Input!D152/Input!D$153</f>
        <v>-0.76702026163030712</v>
      </c>
      <c r="I10" s="6">
        <f>Input!E152/Input!E$153</f>
        <v>0</v>
      </c>
      <c r="J10" s="6">
        <f>Input!F152/Input!F$153</f>
        <v>0</v>
      </c>
      <c r="K10" s="6">
        <f>Input!G152/Input!G$153</f>
        <v>0</v>
      </c>
      <c r="L10" s="6">
        <f>Input!H152/Input!H$153</f>
        <v>-7.6750091727369237E-3</v>
      </c>
      <c r="M10" s="6">
        <f>Input!I152/Input!I$153</f>
        <v>0</v>
      </c>
      <c r="N10" s="6">
        <f>Input!J152/Input!J$153</f>
        <v>0</v>
      </c>
      <c r="O10" s="6">
        <f>AVERAGE(E10:N10)</f>
        <v>-0.15755122368529467</v>
      </c>
    </row>
    <row r="11" spans="1:15" ht="12.75" customHeight="1" x14ac:dyDescent="0.2">
      <c r="B11" s="28" t="s">
        <v>68</v>
      </c>
      <c r="E11" s="8">
        <f>Input!A35/Input!A$153</f>
        <v>65.070661553999997</v>
      </c>
      <c r="F11" s="8">
        <f>Input!B35/Input!B$153</f>
        <v>69.720515257470012</v>
      </c>
      <c r="G11" s="8">
        <f>Input!C35/Input!C$153</f>
        <v>66.712954691297725</v>
      </c>
      <c r="H11" s="8">
        <f>Input!D35/Input!D$153</f>
        <v>61.364276927398443</v>
      </c>
      <c r="I11" s="8">
        <f>Input!E35/Input!E$153</f>
        <v>53.392053986037808</v>
      </c>
      <c r="J11" s="8">
        <f>Input!F35/Input!F$153</f>
        <v>55.080094711248002</v>
      </c>
      <c r="K11" s="8">
        <f>Input!G35/Input!G$153</f>
        <v>57.932857619096815</v>
      </c>
      <c r="L11" s="8">
        <f>Input!H35/Input!H$153</f>
        <v>57.774721429869331</v>
      </c>
      <c r="M11" s="8">
        <f>Input!I35/Input!I$153</f>
        <v>60.2342233915438</v>
      </c>
      <c r="N11" s="8">
        <f>Input!J35/Input!J$153</f>
        <v>64.255706705867794</v>
      </c>
      <c r="O11" s="8">
        <f>AVERAGE(E11:N11)</f>
        <v>61.153806627382984</v>
      </c>
    </row>
    <row r="12" spans="1:15" ht="3" customHeight="1" x14ac:dyDescent="0.2">
      <c r="B12" s="19"/>
      <c r="E12" s="6"/>
      <c r="F12" s="6"/>
      <c r="G12" s="6"/>
      <c r="H12" s="6"/>
      <c r="I12" s="6"/>
      <c r="J12" s="6"/>
      <c r="K12" s="6"/>
      <c r="L12" s="6"/>
      <c r="M12" s="6"/>
      <c r="N12" s="6"/>
      <c r="O12" s="6"/>
    </row>
    <row r="13" spans="1:15" ht="12.75" customHeight="1" x14ac:dyDescent="0.2">
      <c r="B13" s="28" t="s">
        <v>69</v>
      </c>
      <c r="E13" s="8">
        <f>Input!A28/Input!A$34/Input!A$5*Input!A$6</f>
        <v>1.4043501123881929E-2</v>
      </c>
      <c r="F13" s="8">
        <f>Input!B28/Input!B$34/Input!B$5*Input!B$6</f>
        <v>5.6397218030545045E-2</v>
      </c>
      <c r="G13" s="8">
        <f>Input!C28/Input!C$34/Input!C$5*Input!C$6</f>
        <v>2.6647160778734583E-2</v>
      </c>
      <c r="H13" s="8">
        <f>Input!D28/Input!D$34/Input!D$5*Input!D$6</f>
        <v>0.1407715536011597</v>
      </c>
      <c r="I13" s="8">
        <f>Input!E28/Input!E$34/Input!E$5*Input!E$6</f>
        <v>5.6683523665345355E-2</v>
      </c>
      <c r="J13" s="8">
        <f>Input!F28/Input!F$34/Input!F$5*Input!F$6</f>
        <v>0.14084481494949655</v>
      </c>
      <c r="K13" s="8">
        <f>Input!G28/Input!G$34/Input!G$5*Input!G$6</f>
        <v>0.10285654070512446</v>
      </c>
      <c r="L13" s="8">
        <f>Input!H28/Input!H$34/Input!H$5*Input!H$6</f>
        <v>8.5043416404319255E-2</v>
      </c>
      <c r="M13" s="8">
        <f>Input!I28/Input!I$34/Input!I$5*Input!I$6</f>
        <v>0.13362248257582493</v>
      </c>
      <c r="N13" s="8">
        <f>Input!J28/Input!J$34/Input!J$5*Input!J$6</f>
        <v>4.6619512073676768E-2</v>
      </c>
      <c r="O13" s="8">
        <f>AVERAGE(E13:N13)</f>
        <v>8.0352972390810851E-2</v>
      </c>
    </row>
    <row r="14" spans="1:15" ht="3" customHeight="1" x14ac:dyDescent="0.2">
      <c r="B14" s="19"/>
      <c r="O14" s="6"/>
    </row>
    <row r="15" spans="1:15" ht="12" customHeight="1" x14ac:dyDescent="0.2">
      <c r="B15" t="s">
        <v>183</v>
      </c>
      <c r="E15" s="16">
        <f>Input!A136/Input!A$34/Input!A$5*Input!A$6</f>
        <v>0.9336922598809918</v>
      </c>
      <c r="F15" s="16">
        <f>Input!B136/Input!B$34/Input!B$5*Input!B$6</f>
        <v>0.88731177957140583</v>
      </c>
      <c r="G15" s="16">
        <f>Input!C136/Input!C$34/Input!C$5*Input!C$6</f>
        <v>1.0445107943617429</v>
      </c>
      <c r="H15" s="16">
        <f>Input!D136/Input!D$34/Input!D$5*Input!D$6</f>
        <v>0.88800269307639268</v>
      </c>
      <c r="I15" s="16">
        <f>Input!E136/Input!E$34/Input!E$5*Input!E$6</f>
        <v>0.79605740574898731</v>
      </c>
      <c r="J15" s="16">
        <f>Input!F136/Input!F$34/Input!F$5*Input!F$6</f>
        <v>0.74104931863247536</v>
      </c>
      <c r="K15" s="16">
        <f>Input!G136/Input!G$34/Input!G$5*Input!G$6</f>
        <v>0.73433506792350212</v>
      </c>
      <c r="L15" s="16">
        <f>Input!H136/Input!H$34/Input!H$5*Input!H$6</f>
        <v>1.0687683094651319</v>
      </c>
      <c r="M15" s="16">
        <f>Input!I136/Input!I$34/Input!I$5*Input!I$6</f>
        <v>1.0064670622877181</v>
      </c>
      <c r="N15" s="16">
        <f>Input!J136/Input!J$34/Input!J$5*Input!J$6</f>
        <v>0.70344772515076548</v>
      </c>
      <c r="O15" s="6">
        <f t="shared" ref="O15:O26" si="1">AVERAGE(E15:N15)</f>
        <v>0.88036424160991145</v>
      </c>
    </row>
    <row r="16" spans="1:15" ht="12" customHeight="1" x14ac:dyDescent="0.2">
      <c r="B16" t="s">
        <v>184</v>
      </c>
      <c r="E16" s="16">
        <f>Input!A137/Input!A$34/Input!A$5*Input!A$6</f>
        <v>0.36843671833467129</v>
      </c>
      <c r="F16" s="16">
        <f>Input!B137/Input!B$34/Input!B$5*Input!B$6</f>
        <v>1.6309886235846909</v>
      </c>
      <c r="G16" s="16">
        <f>Input!C137/Input!C$34/Input!C$5*Input!C$6</f>
        <v>1.2899577076493223</v>
      </c>
      <c r="H16" s="16">
        <f>Input!D137/Input!D$34/Input!D$5*Input!D$6</f>
        <v>1.3711436344225443</v>
      </c>
      <c r="I16" s="16">
        <f>Input!E137/Input!E$34/Input!E$5*Input!E$6</f>
        <v>1.2266284902986784</v>
      </c>
      <c r="J16" s="16">
        <f>Input!F137/Input!F$34/Input!F$5*Input!F$6</f>
        <v>1.0866133590697875</v>
      </c>
      <c r="K16" s="16">
        <f>Input!G137/Input!G$34/Input!G$5*Input!G$6</f>
        <v>1.12092369081165</v>
      </c>
      <c r="L16" s="16">
        <f>Input!H137/Input!H$34/Input!H$5*Input!H$6</f>
        <v>1.1143267816651503</v>
      </c>
      <c r="M16" s="16">
        <f>Input!I137/Input!I$34/Input!I$5*Input!I$6</f>
        <v>1.9072109554740331</v>
      </c>
      <c r="N16" s="16">
        <f>Input!J137/Input!J$34/Input!J$5*Input!J$6</f>
        <v>1.3415467834875483</v>
      </c>
      <c r="O16" s="6">
        <f t="shared" si="1"/>
        <v>1.2457776744798075</v>
      </c>
    </row>
    <row r="17" spans="2:15" ht="12" customHeight="1" x14ac:dyDescent="0.2">
      <c r="B17" t="s">
        <v>185</v>
      </c>
      <c r="E17" s="16">
        <f>Input!A138/Input!A$34/Input!A$5*Input!A$6</f>
        <v>1.1063557594173274</v>
      </c>
      <c r="F17" s="16">
        <f>Input!B138/Input!B$34/Input!B$5*Input!B$6</f>
        <v>0.80313886282099656</v>
      </c>
      <c r="G17" s="16">
        <f>Input!C138/Input!C$34/Input!C$5*Input!C$6</f>
        <v>0.75121104598641042</v>
      </c>
      <c r="H17" s="16">
        <f>Input!D138/Input!D$34/Input!D$5*Input!D$6</f>
        <v>0.72391506022212559</v>
      </c>
      <c r="I17" s="16">
        <f>Input!E138/Input!E$34/Input!E$5*Input!E$6</f>
        <v>0.65052331915161876</v>
      </c>
      <c r="J17" s="16">
        <f>Input!F138/Input!F$34/Input!F$5*Input!F$6</f>
        <v>0.62785682622088468</v>
      </c>
      <c r="K17" s="16">
        <f>Input!G138/Input!G$34/Input!G$5*Input!G$6</f>
        <v>0.76773234055267303</v>
      </c>
      <c r="L17" s="16">
        <f>Input!H138/Input!H$34/Input!H$5*Input!H$6</f>
        <v>0</v>
      </c>
      <c r="M17" s="16">
        <f>Input!I138/Input!I$34/Input!I$5*Input!I$6</f>
        <v>0</v>
      </c>
      <c r="N17" s="16">
        <f>Input!J138/Input!J$34/Input!J$5*Input!J$6</f>
        <v>0</v>
      </c>
      <c r="O17" s="6">
        <f t="shared" si="1"/>
        <v>0.54307332143720366</v>
      </c>
    </row>
    <row r="18" spans="2:15" ht="12" customHeight="1" x14ac:dyDescent="0.2">
      <c r="B18" t="s">
        <v>186</v>
      </c>
      <c r="E18" s="16">
        <f>Input!A139/Input!A$34/Input!A$5*Input!A$6</f>
        <v>0.82453810429991725</v>
      </c>
      <c r="F18" s="16">
        <f>Input!B139/Input!B$34/Input!B$5*Input!B$6</f>
        <v>0.86136176485407823</v>
      </c>
      <c r="G18" s="16">
        <f>Input!C139/Input!C$34/Input!C$5*Input!C$6</f>
        <v>0.93341713788064218</v>
      </c>
      <c r="H18" s="16">
        <f>Input!D139/Input!D$34/Input!D$5*Input!D$6</f>
        <v>0.8852340406552508</v>
      </c>
      <c r="I18" s="16">
        <f>Input!E139/Input!E$34/Input!E$5*Input!E$6</f>
        <v>1.3428020807196797</v>
      </c>
      <c r="J18" s="16">
        <f>Input!F139/Input!F$34/Input!F$5*Input!F$6</f>
        <v>0.70270624552224636</v>
      </c>
      <c r="K18" s="16">
        <f>Input!G139/Input!G$34/Input!G$5*Input!G$6</f>
        <v>2.6440819521092473</v>
      </c>
      <c r="L18" s="16">
        <f>Input!H139/Input!H$34/Input!H$5*Input!H$6</f>
        <v>0.79250997107957211</v>
      </c>
      <c r="M18" s="16">
        <f>Input!I139/Input!I$34/Input!I$5*Input!I$6</f>
        <v>1.5080850570820989</v>
      </c>
      <c r="N18" s="16">
        <f>Input!J139/Input!J$34/Input!J$5*Input!J$6</f>
        <v>1.1133560452401634</v>
      </c>
      <c r="O18" s="6">
        <f t="shared" si="1"/>
        <v>1.1608092399442893</v>
      </c>
    </row>
    <row r="19" spans="2:15" ht="12" customHeight="1" x14ac:dyDescent="0.2">
      <c r="B19" t="s">
        <v>311</v>
      </c>
      <c r="E19" s="16">
        <f>E20-SUM(E15:E18)</f>
        <v>0</v>
      </c>
      <c r="F19" s="16">
        <f t="shared" ref="F19:N19" si="2">F20-SUM(F15:F18)</f>
        <v>0</v>
      </c>
      <c r="G19" s="16">
        <f t="shared" si="2"/>
        <v>0</v>
      </c>
      <c r="H19" s="16">
        <f t="shared" si="2"/>
        <v>1.904668195484982E-2</v>
      </c>
      <c r="I19" s="16">
        <f t="shared" si="2"/>
        <v>0</v>
      </c>
      <c r="J19" s="16">
        <f t="shared" si="2"/>
        <v>0</v>
      </c>
      <c r="K19" s="16">
        <f t="shared" si="2"/>
        <v>0</v>
      </c>
      <c r="L19" s="16">
        <f t="shared" si="2"/>
        <v>2.9246851541877117E-2</v>
      </c>
      <c r="M19" s="16">
        <f t="shared" si="2"/>
        <v>0</v>
      </c>
      <c r="N19" s="16">
        <f t="shared" si="2"/>
        <v>0</v>
      </c>
      <c r="O19" s="6">
        <f t="shared" si="1"/>
        <v>4.8293533496726933E-3</v>
      </c>
    </row>
    <row r="20" spans="2:15" ht="12.75" customHeight="1" x14ac:dyDescent="0.2">
      <c r="B20" s="28" t="s">
        <v>187</v>
      </c>
      <c r="E20" s="8">
        <f>Input!A141/Input!A$34/Input!A$5*Input!A$6</f>
        <v>3.2330228419329075</v>
      </c>
      <c r="F20" s="8">
        <f>Input!B141/Input!B$34/Input!B$5*Input!B$6</f>
        <v>4.1828010308311718</v>
      </c>
      <c r="G20" s="8">
        <f>Input!C141/Input!C$34/Input!C$5*Input!C$6</f>
        <v>4.0190966858781172</v>
      </c>
      <c r="H20" s="8">
        <f>Input!D141/Input!D$34/Input!D$5*Input!D$6</f>
        <v>3.8873421103311632</v>
      </c>
      <c r="I20" s="8">
        <f>Input!E141/Input!E$34/Input!E$5*Input!E$6</f>
        <v>4.0160112959189629</v>
      </c>
      <c r="J20" s="8">
        <f>Input!F141/Input!F$34/Input!F$5*Input!F$6</f>
        <v>3.1582257494453945</v>
      </c>
      <c r="K20" s="8">
        <f>Input!G141/Input!G$34/Input!G$5*Input!G$6</f>
        <v>5.2670730513970723</v>
      </c>
      <c r="L20" s="8">
        <f>Input!H141/Input!H$34/Input!H$5*Input!H$6</f>
        <v>3.0048519137517316</v>
      </c>
      <c r="M20" s="8">
        <f>Input!I141/Input!I$34/Input!I$5*Input!I$6</f>
        <v>4.4217630748438506</v>
      </c>
      <c r="N20" s="8">
        <f>Input!J141/Input!J$34/Input!J$5*Input!J$6</f>
        <v>3.1583505538784777</v>
      </c>
      <c r="O20" s="8">
        <f t="shared" si="1"/>
        <v>3.8348538308208853</v>
      </c>
    </row>
    <row r="21" spans="2:15" ht="3" customHeight="1" x14ac:dyDescent="0.2">
      <c r="B21" s="19"/>
      <c r="E21" s="6"/>
      <c r="F21" s="6"/>
      <c r="G21" s="6"/>
      <c r="H21" s="6"/>
      <c r="I21" s="6"/>
      <c r="J21" s="6"/>
      <c r="K21" s="6"/>
      <c r="L21" s="6"/>
      <c r="M21" s="6"/>
      <c r="N21" s="6"/>
      <c r="O21" s="6"/>
    </row>
    <row r="22" spans="2:15" ht="12" customHeight="1" x14ac:dyDescent="0.2">
      <c r="B22" t="s">
        <v>304</v>
      </c>
      <c r="E22" s="16">
        <f>Input!A202/Input!A$34/Input!A$5*Input!A$6</f>
        <v>0.2646492241223462</v>
      </c>
      <c r="F22" s="16">
        <f>Input!B202/Input!B$34/Input!B$5*Input!B$6</f>
        <v>0.51686080467027651</v>
      </c>
      <c r="G22" s="16">
        <f>Input!C202/Input!C$34/Input!C$5*Input!C$6</f>
        <v>0.11092476886400356</v>
      </c>
      <c r="H22" s="16">
        <f>Input!D202/Input!D$34/Input!D$5*Input!D$6</f>
        <v>8.5909891881189956E-2</v>
      </c>
      <c r="I22" s="16">
        <f>Input!E202/Input!E$34/Input!E$5*Input!E$6</f>
        <v>0.19199190444462272</v>
      </c>
      <c r="J22" s="16">
        <f>Input!F202/Input!F$34/Input!F$5*Input!F$6</f>
        <v>3.7065577757297033E-2</v>
      </c>
      <c r="K22" s="16">
        <f>Input!G202/Input!G$34/Input!G$5*Input!G$6</f>
        <v>0.13391587400620542</v>
      </c>
      <c r="L22" s="16">
        <f>Input!H202/Input!H$34/Input!H$5*Input!H$6</f>
        <v>4.9596582947170939E-2</v>
      </c>
      <c r="M22" s="16">
        <f>Input!I202/Input!I$34/Input!I$5*Input!I$6</f>
        <v>5.1916583055524233E-2</v>
      </c>
      <c r="N22" s="16">
        <f>Input!J202/Input!J$34/Input!J$5*Input!J$6</f>
        <v>2.1118497779201446</v>
      </c>
      <c r="O22" s="6">
        <f t="shared" si="1"/>
        <v>0.35546809896687809</v>
      </c>
    </row>
    <row r="23" spans="2:15" ht="12" customHeight="1" x14ac:dyDescent="0.2">
      <c r="B23" t="s">
        <v>305</v>
      </c>
      <c r="E23" s="16">
        <f>Input!A210/Input!A$36</f>
        <v>3.8941353302115873</v>
      </c>
      <c r="F23" s="16">
        <f>Input!B210/Input!B$36</f>
        <v>4.4533748034063025</v>
      </c>
      <c r="G23" s="16">
        <f>Input!C210/Input!C$36</f>
        <v>4.0612877456634502</v>
      </c>
      <c r="H23" s="16">
        <f>Input!D210/Input!D$36</f>
        <v>2.9962209429889644</v>
      </c>
      <c r="I23" s="16">
        <f>Input!E210/Input!E$36</f>
        <v>3.3569933566036556</v>
      </c>
      <c r="J23" s="16">
        <f>Input!F210/Input!F$36</f>
        <v>2.7741278358656265</v>
      </c>
      <c r="K23" s="16">
        <f>Input!G210/Input!G$36</f>
        <v>2.1747692044754383</v>
      </c>
      <c r="L23" s="16">
        <f>Input!H210/Input!H$36</f>
        <v>2.6060347395397558</v>
      </c>
      <c r="M23" s="16">
        <f>Input!I210/Input!I$36</f>
        <v>1.3999670310815731</v>
      </c>
      <c r="N23" s="16">
        <f>Input!J210/Input!J$36</f>
        <v>2.4283136036216644</v>
      </c>
      <c r="O23" s="6">
        <f t="shared" si="1"/>
        <v>3.0145224593458018</v>
      </c>
    </row>
    <row r="24" spans="2:15" ht="12" customHeight="1" x14ac:dyDescent="0.2">
      <c r="B24" t="s">
        <v>306</v>
      </c>
      <c r="E24" s="16">
        <f>Input!A204/Input!A$34/Input!A$5*Input!A$6</f>
        <v>0</v>
      </c>
      <c r="F24" s="16">
        <f>Input!B204/Input!B$34/Input!B$5*Input!B$6</f>
        <v>0</v>
      </c>
      <c r="G24" s="16">
        <f>Input!C204/Input!C$34/Input!C$5*Input!C$6</f>
        <v>2.1746329656034426E-2</v>
      </c>
      <c r="H24" s="16">
        <f>Input!D204/Input!D$34/Input!D$5*Input!D$6</f>
        <v>0.17064918137248117</v>
      </c>
      <c r="I24" s="16">
        <f>Input!E204/Input!E$34/Input!E$5*Input!E$6</f>
        <v>4.4858411016920202E-3</v>
      </c>
      <c r="J24" s="16">
        <f>Input!F204/Input!F$34/Input!F$5*Input!F$6</f>
        <v>3.9473558887977338E-3</v>
      </c>
      <c r="K24" s="16">
        <f>Input!G204/Input!G$34/Input!G$5*Input!G$6</f>
        <v>1.2784802675533915E-2</v>
      </c>
      <c r="L24" s="16">
        <f>Input!H204/Input!H$34/Input!H$5*Input!H$6</f>
        <v>0</v>
      </c>
      <c r="M24" s="16">
        <f>Input!I204/Input!I$34/Input!I$5*Input!I$6</f>
        <v>0</v>
      </c>
      <c r="N24" s="16">
        <f>Input!J204/Input!J$34/Input!J$5*Input!J$6</f>
        <v>0.56972685559875291</v>
      </c>
      <c r="O24" s="6">
        <f t="shared" si="1"/>
        <v>7.8334036629329223E-2</v>
      </c>
    </row>
    <row r="25" spans="2:15" ht="12" customHeight="1" x14ac:dyDescent="0.2">
      <c r="B25" t="s">
        <v>307</v>
      </c>
      <c r="E25" s="16">
        <f>Input!A205/Input!A$34/Input!A$5*Input!A$6</f>
        <v>0.88706733440746721</v>
      </c>
      <c r="F25" s="16">
        <f>Input!B205/Input!B$34/Input!B$5*Input!B$6</f>
        <v>0.27268699933900897</v>
      </c>
      <c r="G25" s="16">
        <f>Input!C205/Input!C$34/Input!C$5*Input!C$6</f>
        <v>0.21811869337514114</v>
      </c>
      <c r="H25" s="16">
        <f>Input!D205/Input!D$34/Input!D$5*Input!D$6</f>
        <v>0.24566116331327342</v>
      </c>
      <c r="I25" s="16">
        <f>Input!E205/Input!E$34/Input!E$5*Input!E$6</f>
        <v>0.51290942015829644</v>
      </c>
      <c r="J25" s="16">
        <f>Input!F205/Input!F$34/Input!F$5*Input!F$6</f>
        <v>0.21597884954985766</v>
      </c>
      <c r="K25" s="16">
        <f>Input!G205/Input!G$34/Input!G$5*Input!G$6</f>
        <v>0.22856774371623051</v>
      </c>
      <c r="L25" s="16">
        <f>Input!H205/Input!H$34/Input!H$5*Input!H$6</f>
        <v>0.3255763019757843</v>
      </c>
      <c r="M25" s="16">
        <f>Input!I205/Input!I$34/Input!I$5*Input!I$6</f>
        <v>0.30287499311046656</v>
      </c>
      <c r="N25" s="16">
        <f>Input!J205/Input!J$34/Input!J$5*Input!J$6</f>
        <v>0.49578187933679302</v>
      </c>
      <c r="O25" s="6">
        <f t="shared" si="1"/>
        <v>0.37052233782823196</v>
      </c>
    </row>
    <row r="26" spans="2:15" ht="12" customHeight="1" x14ac:dyDescent="0.2">
      <c r="B26" t="s">
        <v>308</v>
      </c>
      <c r="E26" s="16">
        <f>(Input!A142-SUM(Input!A202:'Input'!A205))/Input!A$34/Input!A$5*Input!A$6</f>
        <v>1.2470012383206015</v>
      </c>
      <c r="F26" s="16">
        <f>(Input!B142-SUM(Input!B202:'Input'!B205))/Input!B$34/Input!B$5*Input!B$6</f>
        <v>2.1433951021890172</v>
      </c>
      <c r="G26" s="16">
        <f>(Input!C142-SUM(Input!C202:'Input'!C205))/Input!C$34/Input!C$5*Input!C$6</f>
        <v>0.41424894453576799</v>
      </c>
      <c r="H26" s="16">
        <f>(Input!D142-SUM(Input!D202:'Input'!D205))/Input!D$34/Input!D$5*Input!D$6</f>
        <v>0.50914507548202348</v>
      </c>
      <c r="I26" s="16">
        <f>(Input!E142-SUM(Input!E202:'Input'!E205))/Input!E$34/Input!E$5*Input!E$6</f>
        <v>0.34422942134444035</v>
      </c>
      <c r="J26" s="16">
        <f>(Input!F142-SUM(Input!F202:'Input'!F205))/Input!F$34/Input!F$5*Input!F$6</f>
        <v>0.51376668262997383</v>
      </c>
      <c r="K26" s="16">
        <f>(Input!G142-SUM(Input!G202:'Input'!G205))/Input!G$34/Input!G$5*Input!G$6</f>
        <v>0.57842249960965852</v>
      </c>
      <c r="L26" s="16">
        <f>(Input!H142-SUM(Input!H202:'Input'!H205))/Input!H$34/Input!H$5*Input!H$6</f>
        <v>0.47142196515419438</v>
      </c>
      <c r="M26" s="16">
        <f>(Input!I142-SUM(Input!I202:'Input'!I205))/Input!I$34/Input!I$5*Input!I$6</f>
        <v>0.60989882473162471</v>
      </c>
      <c r="N26" s="16">
        <f>(Input!J142-SUM(Input!J202:'Input'!J205))/Input!J$34/Input!J$5*Input!J$6</f>
        <v>0.33632227944835014</v>
      </c>
      <c r="O26" s="6">
        <f t="shared" si="1"/>
        <v>0.71678520334456519</v>
      </c>
    </row>
    <row r="27" spans="2:15" ht="12.75" customHeight="1" x14ac:dyDescent="0.2">
      <c r="B27" s="28" t="s">
        <v>188</v>
      </c>
      <c r="E27" s="8">
        <f>SUM(E22:E26)</f>
        <v>6.2928531270620018</v>
      </c>
      <c r="F27" s="8">
        <f t="shared" ref="F27:N27" si="3">SUM(F22:F26)</f>
        <v>7.3863177096046053</v>
      </c>
      <c r="G27" s="8">
        <f t="shared" si="3"/>
        <v>4.8263264820943963</v>
      </c>
      <c r="H27" s="8">
        <f t="shared" si="3"/>
        <v>4.007586255037932</v>
      </c>
      <c r="I27" s="8">
        <f t="shared" si="3"/>
        <v>4.4106099436527071</v>
      </c>
      <c r="J27" s="8">
        <f t="shared" si="3"/>
        <v>3.5448863016915531</v>
      </c>
      <c r="K27" s="8">
        <f t="shared" si="3"/>
        <v>3.128460124483067</v>
      </c>
      <c r="L27" s="8">
        <f t="shared" si="3"/>
        <v>3.452629589616905</v>
      </c>
      <c r="M27" s="8">
        <f t="shared" si="3"/>
        <v>2.3646574319791887</v>
      </c>
      <c r="N27" s="8">
        <f t="shared" si="3"/>
        <v>5.9419943959257049</v>
      </c>
      <c r="O27" s="8">
        <f>AVERAGE(E27:N27)</f>
        <v>4.5356321361148053</v>
      </c>
    </row>
    <row r="28" spans="2:15" ht="3" customHeight="1" x14ac:dyDescent="0.2">
      <c r="B28" s="19"/>
      <c r="E28" s="6"/>
      <c r="F28" s="6"/>
      <c r="G28" s="6"/>
      <c r="H28" s="6"/>
      <c r="I28" s="6"/>
      <c r="J28" s="6"/>
      <c r="K28" s="6"/>
      <c r="L28" s="6"/>
      <c r="M28" s="6"/>
      <c r="N28" s="6"/>
      <c r="O28" s="6"/>
    </row>
    <row r="29" spans="2:15" ht="11.25" customHeight="1" x14ac:dyDescent="0.2">
      <c r="B29" t="s">
        <v>189</v>
      </c>
      <c r="E29" s="16">
        <f>Input!A143/Input!A$34/Input!A$5*Input!A$6</f>
        <v>2.1904173947817771</v>
      </c>
      <c r="F29" s="16">
        <f>Input!B143/Input!B$34/Input!B$5*Input!B$6</f>
        <v>2.2737655134816985</v>
      </c>
      <c r="G29" s="16">
        <f>Input!C143/Input!C$34/Input!C$5*Input!C$6</f>
        <v>2.8592982597228742</v>
      </c>
      <c r="H29" s="16">
        <f>Input!D143/Input!D$34/Input!D$5*Input!D$6</f>
        <v>1.5024994440917088</v>
      </c>
      <c r="I29" s="16">
        <f>Input!E143/Input!E$34/Input!E$5*Input!E$6</f>
        <v>0.6393632762283481</v>
      </c>
      <c r="J29" s="16">
        <f>Input!F143/Input!F$34/Input!F$5*Input!F$6</f>
        <v>1.0112398238497751</v>
      </c>
      <c r="K29" s="16">
        <f>Input!G143/Input!G$34/Input!G$5*Input!G$6</f>
        <v>1.0778454133040161</v>
      </c>
      <c r="L29" s="16">
        <f>Input!H143/Input!H$34/Input!H$5*Input!H$6</f>
        <v>1.0402579760388067</v>
      </c>
      <c r="M29" s="16">
        <f>Input!I143/Input!I$34/Input!I$5*Input!I$6</f>
        <v>5.1402557480717058E-2</v>
      </c>
      <c r="N29" s="16">
        <f>Input!J143/Input!J$34/Input!J$5*Input!J$6</f>
        <v>4.516496189328937E-2</v>
      </c>
      <c r="O29" s="16">
        <f t="shared" ref="O29:O35" si="4">AVERAGE(E29:N29)</f>
        <v>1.2691254620873011</v>
      </c>
    </row>
    <row r="30" spans="2:15" ht="11.25" customHeight="1" x14ac:dyDescent="0.2">
      <c r="B30" t="s">
        <v>309</v>
      </c>
      <c r="E30" s="16">
        <f>Input!A211/Input!A$36</f>
        <v>0.23644849045544539</v>
      </c>
      <c r="F30" s="16">
        <f>Input!B211/Input!B$36</f>
        <v>0.19834305428538629</v>
      </c>
      <c r="G30" s="16">
        <f>Input!C211/Input!C$36</f>
        <v>0.18978850317434096</v>
      </c>
      <c r="H30" s="16">
        <f>Input!D211/Input!D$36</f>
        <v>1.3930834173516511</v>
      </c>
      <c r="I30" s="16">
        <f>Input!E211/Input!E$36</f>
        <v>1.3404264665001331</v>
      </c>
      <c r="J30" s="16">
        <f>Input!F211/Input!F$36</f>
        <v>0.80853874687605953</v>
      </c>
      <c r="K30" s="16">
        <f>Input!G211/Input!G$36</f>
        <v>0.23045088806697309</v>
      </c>
      <c r="L30" s="16">
        <f>Input!H211/Input!H$36</f>
        <v>0.20645399134765405</v>
      </c>
      <c r="M30" s="16">
        <f>Input!I211/Input!I$36</f>
        <v>0</v>
      </c>
      <c r="N30" s="16">
        <f>Input!J211/Input!J$36</f>
        <v>0</v>
      </c>
      <c r="O30" s="6">
        <f t="shared" si="4"/>
        <v>0.46035335580576442</v>
      </c>
    </row>
    <row r="31" spans="2:15" ht="11.25" customHeight="1" x14ac:dyDescent="0.2">
      <c r="B31" t="s">
        <v>190</v>
      </c>
      <c r="E31" s="16">
        <f>Input!A144/Input!A$34/Input!A$5*Input!A$6</f>
        <v>0</v>
      </c>
      <c r="F31" s="16">
        <f>Input!B144/Input!B$34/Input!B$5*Input!B$6</f>
        <v>1.5166191843779866E-2</v>
      </c>
      <c r="G31" s="16">
        <f>Input!C144/Input!C$34/Input!C$5*Input!C$6</f>
        <v>1.5688275744108023E-2</v>
      </c>
      <c r="H31" s="16">
        <f>Input!D144/Input!D$34/Input!D$5*Input!D$6</f>
        <v>1.560691802426646E-2</v>
      </c>
      <c r="I31" s="16">
        <f>Input!E144/Input!E$34/Input!E$5*Input!E$6</f>
        <v>1.4222700577214056E-2</v>
      </c>
      <c r="J31" s="16">
        <f>Input!F144/Input!F$34/Input!F$5*Input!F$6</f>
        <v>1.3899249430218249E-2</v>
      </c>
      <c r="K31" s="16">
        <f>Input!G144/Input!G$34/Input!G$5*Input!G$6</f>
        <v>6.385548858130298E-2</v>
      </c>
      <c r="L31" s="16">
        <f>Input!H144/Input!H$34/Input!H$5*Input!H$6</f>
        <v>0.14955899070704182</v>
      </c>
      <c r="M31" s="16">
        <f>Input!I144/Input!I$34/Input!I$5*Input!I$6</f>
        <v>2.2395595612820628E-2</v>
      </c>
      <c r="N31" s="16">
        <f>Input!J144/Input!J$34/Input!J$5*Input!J$6</f>
        <v>7.1375871376786429E-2</v>
      </c>
      <c r="O31" s="6">
        <f t="shared" si="4"/>
        <v>3.817692818975385E-2</v>
      </c>
    </row>
    <row r="32" spans="2:15" ht="11.25" customHeight="1" x14ac:dyDescent="0.2">
      <c r="B32" t="s">
        <v>310</v>
      </c>
      <c r="E32" s="16">
        <f>Input!A208/Input!A$34/Input!A$5*Input!A$6</f>
        <v>1.4656154802095659E-3</v>
      </c>
      <c r="F32" s="16">
        <f>Input!B208/Input!B$34/Input!B$5*Input!B$6</f>
        <v>3.8965936309116253E-3</v>
      </c>
      <c r="G32" s="16">
        <f>Input!C208/Input!C$34/Input!C$5*Input!C$6</f>
        <v>2.6871538122053736E-3</v>
      </c>
      <c r="H32" s="16">
        <f>Input!D208/Input!D$34/Input!D$5*Input!D$6</f>
        <v>2.6732185199788393E-3</v>
      </c>
      <c r="I32" s="16">
        <f>Input!E208/Input!E$34/Input!E$5*Input!E$6</f>
        <v>2.4357067392583053E-3</v>
      </c>
      <c r="J32" s="16">
        <f>Input!F208/Input!F$34/Input!F$5*Input!F$6</f>
        <v>4.1885230137548883E-3</v>
      </c>
      <c r="K32" s="16">
        <f>Input!G208/Input!G$34/Input!G$5*Input!G$6</f>
        <v>3.6180505796663452E-2</v>
      </c>
      <c r="L32" s="16">
        <f>Input!H208/Input!H$34/Input!H$5*Input!H$6</f>
        <v>2.3374107126375417E-3</v>
      </c>
      <c r="M32" s="16">
        <f>Input!I208/Input!I$34/Input!I$5*Input!I$6</f>
        <v>3.8360117522923181E-3</v>
      </c>
      <c r="N32" s="16">
        <f>Input!J208/Input!J$34/Input!J$5*Input!J$6</f>
        <v>0.15069825952398835</v>
      </c>
      <c r="O32" s="6">
        <f t="shared" si="4"/>
        <v>2.1039899898190027E-2</v>
      </c>
    </row>
    <row r="33" spans="2:15" ht="11.25" customHeight="1" x14ac:dyDescent="0.2">
      <c r="B33" t="s">
        <v>191</v>
      </c>
      <c r="E33" s="16">
        <f>Input!A145/Input!A$34/Input!A$5*Input!A$6</f>
        <v>4.1920035707190474E-2</v>
      </c>
      <c r="F33" s="16">
        <f>Input!B145/Input!B$34/Input!B$5*Input!B$6</f>
        <v>7.7700934502373808E-2</v>
      </c>
      <c r="G33" s="16">
        <f>Input!C145/Input!C$34/Input!C$5*Input!C$6</f>
        <v>0.10378661347726119</v>
      </c>
      <c r="H33" s="16">
        <f>Input!D145/Input!D$34/Input!D$5*Input!D$6</f>
        <v>0.20725556748044141</v>
      </c>
      <c r="I33" s="16">
        <f>Input!E145/Input!E$34/Input!E$5*Input!E$6</f>
        <v>0.16100058082098487</v>
      </c>
      <c r="J33" s="16">
        <f>Input!F145/Input!F$34/Input!F$5*Input!F$6</f>
        <v>0.14273594136321535</v>
      </c>
      <c r="K33" s="16">
        <f>Input!G145/Input!G$34/Input!G$5*Input!G$6</f>
        <v>9.4471170760702258E-2</v>
      </c>
      <c r="L33" s="16">
        <f>Input!H145/Input!H$34/Input!H$5*Input!H$6</f>
        <v>0</v>
      </c>
      <c r="M33" s="16">
        <f>Input!I145/Input!I$34/Input!I$5*Input!I$6</f>
        <v>0</v>
      </c>
      <c r="N33" s="16">
        <f>Input!J145/Input!J$34/Input!J$5*Input!J$6</f>
        <v>7.2846712731111877E-3</v>
      </c>
      <c r="O33" s="6">
        <f t="shared" si="4"/>
        <v>8.3615551538528038E-2</v>
      </c>
    </row>
    <row r="34" spans="2:15" ht="11.25" customHeight="1" x14ac:dyDescent="0.2">
      <c r="B34" t="s">
        <v>192</v>
      </c>
      <c r="E34" s="16">
        <f>(Input!A147-Input!A143-Input!A144-Input!A145-Input!A207-Input!A208)/Input!A$34/Input!A$5*Input!A$6</f>
        <v>2.8580822238392718E-2</v>
      </c>
      <c r="F34" s="16">
        <f>(Input!B147-Input!B143-Input!B144-Input!B145-Input!B207-Input!B208)/Input!B$34/Input!B$5*Input!B$6</f>
        <v>2.7316550103688386E-2</v>
      </c>
      <c r="G34" s="16">
        <f>(Input!C147-Input!C143-Input!C144-Input!C145-Input!C207-Input!C208)/Input!C$34/Input!C$5*Input!C$6</f>
        <v>2.8797824332333216E-2</v>
      </c>
      <c r="H34" s="16">
        <f>(Input!D147-Input!D143-Input!D144-Input!D145-Input!D207-Input!D208)/Input!D$34/Input!D$5*Input!D$6</f>
        <v>2.6732185199788396E-2</v>
      </c>
      <c r="I34" s="16">
        <f>(Input!E147-Input!E143-Input!E144-Input!E145-Input!E207-Input!E208)/Input!E$34/Input!E$5*Input!E$6</f>
        <v>0.70583955883888139</v>
      </c>
      <c r="J34" s="16">
        <f>(Input!F147-Input!F143-Input!F144-Input!F145-Input!F207-Input!F208)/Input!F$34/Input!F$5*Input!F$6</f>
        <v>2.3807218653223685E-2</v>
      </c>
      <c r="K34" s="16">
        <f>(Input!G147-Input!G143-Input!G144-Input!G145-Input!G207-Input!G208)/Input!G$34/Input!G$5*Input!G$6</f>
        <v>1.6007604255690893E-17</v>
      </c>
      <c r="L34" s="16">
        <f>(Input!H147-Input!H143-Input!H144-Input!H145-Input!H207-Input!H208)/Input!H$34/Input!H$5*Input!H$6</f>
        <v>1.2755175954066769E-16</v>
      </c>
      <c r="M34" s="16">
        <f>(Input!I147-Input!I143-Input!I144-Input!I145-Input!I207-Input!I208)/Input!I$34/Input!I$5*Input!I$6</f>
        <v>0</v>
      </c>
      <c r="N34" s="16">
        <f>(Input!J147-Input!J143-Input!J144-Input!J145-Input!J207-Input!J208)/Input!J$34/Input!J$5*Input!J$6</f>
        <v>-2.4092254280189373E-17</v>
      </c>
      <c r="O34" s="6">
        <f t="shared" si="4"/>
        <v>8.4107415936630792E-2</v>
      </c>
    </row>
    <row r="35" spans="2:15" ht="12.75" customHeight="1" x14ac:dyDescent="0.2">
      <c r="B35" s="28" t="s">
        <v>193</v>
      </c>
      <c r="E35" s="8">
        <f>SUM(E29:E34)</f>
        <v>2.498832358663015</v>
      </c>
      <c r="F35" s="8">
        <f t="shared" ref="F35:N35" si="5">SUM(F29:F34)</f>
        <v>2.5961888378478384</v>
      </c>
      <c r="G35" s="8">
        <f t="shared" si="5"/>
        <v>3.200046630263123</v>
      </c>
      <c r="H35" s="8">
        <f t="shared" si="5"/>
        <v>3.1478507506678346</v>
      </c>
      <c r="I35" s="8">
        <f t="shared" si="5"/>
        <v>2.86328828970482</v>
      </c>
      <c r="J35" s="8">
        <f t="shared" si="5"/>
        <v>2.0044095031862468</v>
      </c>
      <c r="K35" s="8">
        <f t="shared" si="5"/>
        <v>1.5028034665096579</v>
      </c>
      <c r="L35" s="8">
        <f t="shared" si="5"/>
        <v>1.3986083688061401</v>
      </c>
      <c r="M35" s="8">
        <f t="shared" si="5"/>
        <v>7.7634164845829995E-2</v>
      </c>
      <c r="N35" s="8">
        <f t="shared" si="5"/>
        <v>0.27452376406717532</v>
      </c>
      <c r="O35" s="8">
        <f t="shared" si="4"/>
        <v>1.9564186134561681</v>
      </c>
    </row>
    <row r="36" spans="2:15" ht="6" customHeight="1" x14ac:dyDescent="0.2">
      <c r="B36" s="19"/>
      <c r="E36" s="8"/>
      <c r="F36" s="8"/>
      <c r="G36" s="8"/>
      <c r="H36" s="8"/>
      <c r="I36" s="8"/>
      <c r="J36" s="8"/>
      <c r="K36" s="8"/>
      <c r="L36" s="8"/>
      <c r="M36" s="8"/>
      <c r="N36" s="8"/>
      <c r="O36" s="6"/>
    </row>
    <row r="37" spans="2:15" ht="12.75" customHeight="1" x14ac:dyDescent="0.2">
      <c r="B37" s="29" t="s">
        <v>194</v>
      </c>
      <c r="E37" s="30">
        <f>+E11+E13+E20+E27+E35</f>
        <v>77.109413382781796</v>
      </c>
      <c r="F37" s="30">
        <f t="shared" ref="F37:N37" si="6">+F11+F13+F20+F27+F35</f>
        <v>83.942220053784169</v>
      </c>
      <c r="G37" s="30">
        <f t="shared" si="6"/>
        <v>78.785071650312091</v>
      </c>
      <c r="H37" s="30">
        <f t="shared" si="6"/>
        <v>72.54782759703653</v>
      </c>
      <c r="I37" s="30">
        <f t="shared" si="6"/>
        <v>64.73864703897965</v>
      </c>
      <c r="J37" s="30">
        <f t="shared" si="6"/>
        <v>63.928461080520691</v>
      </c>
      <c r="K37" s="30">
        <f t="shared" si="6"/>
        <v>67.934050802191734</v>
      </c>
      <c r="L37" s="30">
        <f t="shared" si="6"/>
        <v>65.715854718448426</v>
      </c>
      <c r="M37" s="30">
        <f t="shared" si="6"/>
        <v>67.231900545788491</v>
      </c>
      <c r="N37" s="30">
        <f t="shared" si="6"/>
        <v>73.677194931812821</v>
      </c>
      <c r="O37" s="7">
        <f>AVERAGE(E37:N37)</f>
        <v>71.56106418016563</v>
      </c>
    </row>
    <row r="38" spans="2:15" ht="6" customHeight="1" x14ac:dyDescent="0.2">
      <c r="E38" s="7"/>
      <c r="F38" s="7"/>
      <c r="G38" s="7"/>
      <c r="H38" s="7"/>
      <c r="I38" s="7"/>
      <c r="J38" s="7"/>
      <c r="K38" s="7"/>
      <c r="L38" s="7"/>
      <c r="M38" s="7"/>
      <c r="N38" s="7"/>
      <c r="O38" s="6"/>
    </row>
    <row r="39" spans="2:15" ht="12.75" customHeight="1" x14ac:dyDescent="0.2">
      <c r="B39" s="29" t="s">
        <v>195</v>
      </c>
      <c r="E39" s="30">
        <f>(Input!A24-Input!A125)/Input!A$5+Input!A131/Input!A5</f>
        <v>78.372256060606048</v>
      </c>
      <c r="F39" s="30">
        <f>(Input!B24-Input!B125)/Input!B$5+Input!B131/Input!B5</f>
        <v>76.294150000000002</v>
      </c>
      <c r="G39" s="30">
        <f>(Input!C24-Input!C125)/Input!C$5+Input!C131/Input!C5</f>
        <v>64.676978374655647</v>
      </c>
      <c r="H39" s="30">
        <f>(Input!D24-Input!D125)/Input!D$5+Input!D131/Input!D5</f>
        <v>66.29255606060606</v>
      </c>
      <c r="I39" s="30">
        <f>(Input!E24-Input!E125)/Input!E$5+Input!E131/Input!E5</f>
        <v>63.745938788659799</v>
      </c>
      <c r="J39" s="30">
        <f>(Input!F24-Input!F125)/Input!F$5+Input!F131/Input!F5</f>
        <v>59.913874502487559</v>
      </c>
      <c r="K39" s="30">
        <f>(Input!G24-Input!G125)/Input!G$5+Input!G131/Input!G5</f>
        <v>58.964871130221141</v>
      </c>
      <c r="L39" s="30">
        <f>(Input!H24-Input!H125)/Input!H$5+Input!H131/Input!H5</f>
        <v>58.292502063106788</v>
      </c>
      <c r="M39" s="30">
        <f>(Input!I24-Input!I125)/Input!I$5+Input!I131/Input!I5</f>
        <v>56.682368583162216</v>
      </c>
      <c r="N39" s="30">
        <f>(Input!J24-Input!J125)/Input!J$5+Input!J131/Input!J5</f>
        <v>64.984852838427955</v>
      </c>
      <c r="O39" s="7">
        <f>AVERAGE(E39:N39)</f>
        <v>64.822034840193325</v>
      </c>
    </row>
    <row r="40" spans="2:15" ht="6" customHeight="1" x14ac:dyDescent="0.2">
      <c r="E40" s="6"/>
      <c r="F40" s="6"/>
      <c r="G40" s="6"/>
      <c r="H40" s="6"/>
      <c r="I40" s="6"/>
      <c r="J40" s="6"/>
      <c r="K40" s="6"/>
      <c r="L40" s="6"/>
      <c r="M40" s="6"/>
      <c r="N40" s="6"/>
      <c r="O40" s="6"/>
    </row>
    <row r="41" spans="2:15" ht="12.75" customHeight="1" x14ac:dyDescent="0.2">
      <c r="B41" s="31" t="s">
        <v>73</v>
      </c>
      <c r="C41" s="10"/>
      <c r="D41" s="10"/>
      <c r="E41" s="11">
        <f>+E37-E39</f>
        <v>-1.2628426778242527</v>
      </c>
      <c r="F41" s="11">
        <f t="shared" ref="F41:N41" si="7">+F37-F39</f>
        <v>7.648070053784167</v>
      </c>
      <c r="G41" s="11">
        <f t="shared" si="7"/>
        <v>14.108093275656444</v>
      </c>
      <c r="H41" s="11">
        <f t="shared" si="7"/>
        <v>6.2552715364304703</v>
      </c>
      <c r="I41" s="11">
        <f t="shared" si="7"/>
        <v>0.99270825031985055</v>
      </c>
      <c r="J41" s="11">
        <f t="shared" si="7"/>
        <v>4.014586578033132</v>
      </c>
      <c r="K41" s="11">
        <f t="shared" si="7"/>
        <v>8.9691796719705934</v>
      </c>
      <c r="L41" s="11">
        <f t="shared" si="7"/>
        <v>7.4233526553416382</v>
      </c>
      <c r="M41" s="11">
        <f t="shared" si="7"/>
        <v>10.549531962626276</v>
      </c>
      <c r="N41" s="11">
        <f t="shared" si="7"/>
        <v>8.6923420933848661</v>
      </c>
      <c r="O41" s="11">
        <f>AVERAGE(E41:N41)</f>
        <v>6.7390293399723191</v>
      </c>
    </row>
    <row r="42" spans="2:15" ht="6" customHeight="1" x14ac:dyDescent="0.2">
      <c r="E42" s="6"/>
      <c r="F42" s="6"/>
      <c r="G42" s="6"/>
      <c r="H42" s="6"/>
      <c r="I42" s="6"/>
      <c r="J42" s="6"/>
      <c r="K42" s="6"/>
      <c r="L42" s="6"/>
      <c r="M42" s="6"/>
      <c r="N42" s="6"/>
      <c r="O42" s="6"/>
    </row>
    <row r="43" spans="2:15" s="4" customFormat="1" ht="12.75" customHeight="1" x14ac:dyDescent="0.2">
      <c r="B43" s="4" t="s">
        <v>70</v>
      </c>
      <c r="E43" s="8">
        <f>(Input!A25+Input!A26)/Input!A$5</f>
        <v>2.2377848484848482</v>
      </c>
      <c r="F43" s="8">
        <f>(Input!B25+Input!B26)/Input!B$5</f>
        <v>2.3782800275482092</v>
      </c>
      <c r="G43" s="8">
        <f>(Input!C25+Input!C26)/Input!C$5</f>
        <v>2.2060179063360881</v>
      </c>
      <c r="H43" s="8">
        <f>(Input!D25+Input!D26)/Input!D$5</f>
        <v>2.2197998622589532</v>
      </c>
      <c r="I43" s="8">
        <f>(Input!E25+Input!E26)/Input!E$5</f>
        <v>2.0652724226804127</v>
      </c>
      <c r="J43" s="8">
        <f>(Input!F25+Input!F26)/Input!F$5</f>
        <v>2.1094733830845773</v>
      </c>
      <c r="K43" s="8">
        <f>(Input!G25+Input!G26)/Input!G$5</f>
        <v>2.1126842751842752</v>
      </c>
      <c r="L43" s="8">
        <f>(Input!H25+Input!H26)/Input!H$5</f>
        <v>2.1289933252427184</v>
      </c>
      <c r="M43" s="8">
        <f>(Input!I25+Input!I26)/Input!I$5</f>
        <v>2.2466445585215604</v>
      </c>
      <c r="N43" s="8">
        <f>(Input!J25+Input!J26)/Input!J$5</f>
        <v>2.6948152838427948</v>
      </c>
      <c r="O43" s="8">
        <f>AVERAGE(E43:N43)</f>
        <v>2.2399765893184438</v>
      </c>
    </row>
    <row r="44" spans="2:15" ht="6" customHeight="1" x14ac:dyDescent="0.2">
      <c r="E44" s="17"/>
      <c r="F44" s="17"/>
      <c r="G44" s="17"/>
      <c r="H44" s="17"/>
      <c r="I44" s="17"/>
      <c r="J44" s="17"/>
      <c r="K44" s="17"/>
      <c r="L44" s="17"/>
      <c r="M44" s="17"/>
      <c r="N44" s="17"/>
      <c r="O44" s="6"/>
    </row>
    <row r="45" spans="2:15" ht="12.75" customHeight="1" x14ac:dyDescent="0.2">
      <c r="B45" s="9" t="s">
        <v>74</v>
      </c>
      <c r="C45" s="10"/>
      <c r="D45" s="10"/>
      <c r="E45" s="11">
        <f>+E41-E43</f>
        <v>-3.5006275263091009</v>
      </c>
      <c r="F45" s="11">
        <f t="shared" ref="F45:N45" si="8">+F41-F43</f>
        <v>5.2697900262359578</v>
      </c>
      <c r="G45" s="11">
        <f t="shared" si="8"/>
        <v>11.902075369320356</v>
      </c>
      <c r="H45" s="11">
        <f t="shared" si="8"/>
        <v>4.0354716741715171</v>
      </c>
      <c r="I45" s="11">
        <f t="shared" si="8"/>
        <v>-1.0725641723605621</v>
      </c>
      <c r="J45" s="11">
        <f t="shared" si="8"/>
        <v>1.9051131949485547</v>
      </c>
      <c r="K45" s="11">
        <f t="shared" si="8"/>
        <v>6.8564953967863183</v>
      </c>
      <c r="L45" s="11">
        <f t="shared" si="8"/>
        <v>5.2943593300989198</v>
      </c>
      <c r="M45" s="11">
        <f t="shared" si="8"/>
        <v>8.302887404104716</v>
      </c>
      <c r="N45" s="11">
        <f t="shared" si="8"/>
        <v>5.9975268095420713</v>
      </c>
      <c r="O45" s="11">
        <f>AVERAGE(E45:N45)</f>
        <v>4.4990527506538749</v>
      </c>
    </row>
  </sheetData>
  <mergeCells count="3">
    <mergeCell ref="D1:M1"/>
    <mergeCell ref="D2:M2"/>
    <mergeCell ref="D3:M3"/>
  </mergeCells>
  <phoneticPr fontId="0" type="noConversion"/>
  <pageMargins left="0.78740157480314965" right="0.78740157480314965" top="0.78740157480314965" bottom="0.78740157480314965" header="0.43307086614173229" footer="0.43307086614173229"/>
  <pageSetup paperSize="9" orientation="landscape" r:id="rId1"/>
  <headerFooter alignWithMargins="0">
    <oddFooter>&amp;L&amp;8BOKU / HVLFÖ&amp;C&amp;8DVR-Nr: 0890723&amp;R&amp;8&amp;D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O45"/>
  <sheetViews>
    <sheetView workbookViewId="0">
      <selection activeCell="D2" sqref="D2:M2"/>
    </sheetView>
  </sheetViews>
  <sheetFormatPr baseColWidth="10" defaultRowHeight="12.75" x14ac:dyDescent="0.2"/>
  <cols>
    <col min="1" max="1" width="0.85546875" customWidth="1"/>
    <col min="2" max="2" width="10.28515625" customWidth="1"/>
    <col min="3" max="3" width="8.85546875" customWidth="1"/>
    <col min="4" max="4" width="9.7109375" customWidth="1"/>
    <col min="5" max="9" width="8.7109375" customWidth="1"/>
    <col min="10" max="10" width="8.85546875" customWidth="1"/>
    <col min="11" max="14" width="8.7109375" customWidth="1"/>
    <col min="15" max="15" width="10.7109375" customWidth="1"/>
  </cols>
  <sheetData>
    <row r="1" spans="1:15" ht="15.75" customHeight="1" x14ac:dyDescent="0.25">
      <c r="A1" t="s">
        <v>48</v>
      </c>
      <c r="C1" s="12">
        <f>Input!A3</f>
        <v>2024</v>
      </c>
      <c r="D1" s="36" t="s">
        <v>177</v>
      </c>
      <c r="E1" s="36"/>
      <c r="F1" s="36"/>
      <c r="G1" s="36"/>
      <c r="H1" s="36"/>
      <c r="I1" s="36"/>
      <c r="J1" s="36"/>
      <c r="K1" s="36"/>
      <c r="L1" s="36"/>
      <c r="M1" s="36"/>
      <c r="O1" s="3" t="s">
        <v>203</v>
      </c>
    </row>
    <row r="2" spans="1:15" ht="15.75" customHeight="1" x14ac:dyDescent="0.2">
      <c r="D2" s="37" t="str">
        <f>Kenndat!D2</f>
        <v>Produktionsgebiet 1: Alpenvorland</v>
      </c>
      <c r="E2" s="37"/>
      <c r="F2" s="37"/>
      <c r="G2" s="37"/>
      <c r="H2" s="37"/>
      <c r="I2" s="37"/>
      <c r="J2" s="37"/>
      <c r="K2" s="37"/>
      <c r="L2" s="37"/>
      <c r="M2" s="37"/>
      <c r="N2" s="5"/>
    </row>
    <row r="3" spans="1:15" ht="15.75" customHeight="1" x14ac:dyDescent="0.2">
      <c r="D3" s="38" t="s">
        <v>171</v>
      </c>
      <c r="E3" s="38"/>
      <c r="F3" s="38"/>
      <c r="G3" s="38"/>
      <c r="H3" s="38"/>
      <c r="I3" s="38"/>
      <c r="J3" s="38"/>
      <c r="K3" s="38"/>
      <c r="L3" s="38"/>
      <c r="M3" s="38"/>
      <c r="N3" s="2"/>
    </row>
    <row r="4" spans="1:15" ht="9" customHeight="1" x14ac:dyDescent="0.2"/>
    <row r="5" spans="1:15" x14ac:dyDescent="0.2">
      <c r="E5" s="3">
        <f>Input!A3</f>
        <v>2024</v>
      </c>
      <c r="F5" s="3">
        <f t="shared" ref="F5:N5" si="0">+E5-1</f>
        <v>2023</v>
      </c>
      <c r="G5" s="3">
        <f t="shared" si="0"/>
        <v>2022</v>
      </c>
      <c r="H5" s="3">
        <f t="shared" si="0"/>
        <v>2021</v>
      </c>
      <c r="I5" s="3">
        <f t="shared" si="0"/>
        <v>2020</v>
      </c>
      <c r="J5" s="3">
        <f t="shared" si="0"/>
        <v>2019</v>
      </c>
      <c r="K5" s="3">
        <f t="shared" si="0"/>
        <v>2018</v>
      </c>
      <c r="L5" s="3">
        <f t="shared" si="0"/>
        <v>2017</v>
      </c>
      <c r="M5" s="3">
        <f t="shared" si="0"/>
        <v>2016</v>
      </c>
      <c r="N5" s="3">
        <f t="shared" si="0"/>
        <v>2015</v>
      </c>
      <c r="O5" s="3" t="s">
        <v>16</v>
      </c>
    </row>
    <row r="6" spans="1:15" ht="7.5" customHeight="1" x14ac:dyDescent="0.2"/>
    <row r="7" spans="1:15" ht="12" customHeight="1" x14ac:dyDescent="0.2">
      <c r="B7" t="s">
        <v>179</v>
      </c>
      <c r="E7" s="6">
        <f>Input!A132/Input!A$7</f>
        <v>462.88643131841042</v>
      </c>
      <c r="F7" s="6">
        <f>Input!B132/Input!B$7</f>
        <v>461.98426498944082</v>
      </c>
      <c r="G7" s="6">
        <f>Input!C132/Input!C$7</f>
        <v>514.68526765218985</v>
      </c>
      <c r="H7" s="6">
        <f>Input!D132/Input!D$7</f>
        <v>457.74551331496781</v>
      </c>
      <c r="I7" s="6">
        <f>Input!E132/Input!E$7</f>
        <v>400.19826262626265</v>
      </c>
      <c r="J7" s="6">
        <f>Input!F132/Input!F$7</f>
        <v>444.93658219623131</v>
      </c>
      <c r="K7" s="6">
        <f>Input!G132/Input!G$7</f>
        <v>468.66689687180917</v>
      </c>
      <c r="L7" s="6">
        <f>Input!H132/Input!H$7</f>
        <v>462.02714728827902</v>
      </c>
      <c r="M7" s="6">
        <f>Input!I132/Input!I$7</f>
        <v>488.82269301624518</v>
      </c>
      <c r="N7" s="6">
        <f>Input!J132/Input!J$7</f>
        <v>703.06811179681938</v>
      </c>
      <c r="O7" s="6">
        <f>AVERAGE(E7:N7)</f>
        <v>486.5021171070656</v>
      </c>
    </row>
    <row r="8" spans="1:15" ht="12" customHeight="1" x14ac:dyDescent="0.2">
      <c r="B8" t="s">
        <v>180</v>
      </c>
      <c r="E8" s="6">
        <f>Input!A133/Input!A$7</f>
        <v>5.4988847253722515</v>
      </c>
      <c r="F8" s="6">
        <f>Input!B133/Input!B$7</f>
        <v>6.2047699935726746</v>
      </c>
      <c r="G8" s="6">
        <f>Input!C133/Input!C$7</f>
        <v>-18.073836195023414</v>
      </c>
      <c r="H8" s="6">
        <f>Input!D133/Input!D$7</f>
        <v>2.5800615243342517</v>
      </c>
      <c r="I8" s="6">
        <f>Input!E133/Input!E$7</f>
        <v>-7.7861689623507813</v>
      </c>
      <c r="J8" s="6">
        <f>Input!F133/Input!F$7</f>
        <v>7.4261617005476648</v>
      </c>
      <c r="K8" s="6">
        <f>Input!G133/Input!G$7</f>
        <v>5.341144527986633</v>
      </c>
      <c r="L8" s="6">
        <f>Input!H133/Input!H$7</f>
        <v>-3.8303637559921042</v>
      </c>
      <c r="M8" s="6">
        <f>Input!I133/Input!I$7</f>
        <v>29.694262267626865</v>
      </c>
      <c r="N8" s="6">
        <f>Input!J133/Input!J$7</f>
        <v>-10.216824115831949</v>
      </c>
      <c r="O8" s="6">
        <f>AVERAGE(E8:N8)</f>
        <v>1.6838091710242089</v>
      </c>
    </row>
    <row r="9" spans="1:15" ht="12" customHeight="1" x14ac:dyDescent="0.2">
      <c r="B9" t="s">
        <v>181</v>
      </c>
      <c r="E9" s="6">
        <f>Input!A134/Input!A$7</f>
        <v>1.3164875258850213</v>
      </c>
      <c r="F9" s="6">
        <f>Input!B134/Input!B$7</f>
        <v>0.60676246442016346</v>
      </c>
      <c r="G9" s="6">
        <f>Input!C134/Input!C$7</f>
        <v>1.3435579836562299</v>
      </c>
      <c r="H9" s="6">
        <f>Input!D134/Input!D$7</f>
        <v>1.4522029384756658</v>
      </c>
      <c r="I9" s="6">
        <f>Input!E134/Input!E$7</f>
        <v>0.11721763085399449</v>
      </c>
      <c r="J9" s="6">
        <f>Input!F134/Input!F$7</f>
        <v>1.1735746774343265</v>
      </c>
      <c r="K9" s="6">
        <f>Input!G134/Input!G$7</f>
        <v>0.55538382994523339</v>
      </c>
      <c r="L9" s="6">
        <f>Input!H134/Input!H$7</f>
        <v>4.1022492715480778</v>
      </c>
      <c r="M9" s="6">
        <f>Input!I134/Input!I$7</f>
        <v>0.66114721152235811</v>
      </c>
      <c r="N9" s="6">
        <f>Input!J134/Input!J$7</f>
        <v>2.0103560408260144</v>
      </c>
      <c r="O9" s="6">
        <f>AVERAGE(E9:N9)</f>
        <v>1.3338939574567086</v>
      </c>
    </row>
    <row r="10" spans="1:15" ht="12" customHeight="1" x14ac:dyDescent="0.2">
      <c r="B10" t="s">
        <v>182</v>
      </c>
      <c r="E10" s="6">
        <f>Input!A135/Input!A$7</f>
        <v>-3.570888472537225</v>
      </c>
      <c r="F10" s="6">
        <f>Input!B135/Input!B$7</f>
        <v>-1.8520852079698835</v>
      </c>
      <c r="G10" s="6">
        <f>Input!C135/Input!C$7</f>
        <v>-1.7564227343678267</v>
      </c>
      <c r="H10" s="6">
        <f>Input!D135/Input!D$7</f>
        <v>-5.9835142332415057</v>
      </c>
      <c r="I10" s="6">
        <f>Input!E135/Input!E$7</f>
        <v>0</v>
      </c>
      <c r="J10" s="6">
        <f>Input!F135/Input!F$7</f>
        <v>0</v>
      </c>
      <c r="K10" s="6">
        <f>Input!G135/Input!G$7</f>
        <v>0</v>
      </c>
      <c r="L10" s="6">
        <f>Input!H135/Input!H$7</f>
        <v>-6.3213647899238654E-2</v>
      </c>
      <c r="M10" s="6">
        <f>Input!I135/Input!I$7</f>
        <v>0</v>
      </c>
      <c r="N10" s="6">
        <f>Input!J135/Input!J$7</f>
        <v>0</v>
      </c>
      <c r="O10" s="6">
        <f>AVERAGE(E10:N10)</f>
        <v>-1.322612429601568</v>
      </c>
    </row>
    <row r="11" spans="1:15" ht="12.75" customHeight="1" x14ac:dyDescent="0.2">
      <c r="B11" s="28" t="s">
        <v>68</v>
      </c>
      <c r="E11" s="8">
        <f>Input!A27/Input!A$7</f>
        <v>466.13091509713047</v>
      </c>
      <c r="F11" s="8">
        <f>Input!B27/Input!B$7</f>
        <v>466.94371223946376</v>
      </c>
      <c r="G11" s="8">
        <f>Input!C27/Input!C$7</f>
        <v>496.19856670645487</v>
      </c>
      <c r="H11" s="8">
        <f>Input!D27/Input!D$7</f>
        <v>455.79426354453631</v>
      </c>
      <c r="I11" s="8">
        <f>Input!E27/Input!E$7</f>
        <v>392.52931129476588</v>
      </c>
      <c r="J11" s="8">
        <f>Input!F27/Input!F$7</f>
        <v>453.53631857421328</v>
      </c>
      <c r="K11" s="8">
        <f>Input!G27/Input!G$7</f>
        <v>474.56342522974103</v>
      </c>
      <c r="L11" s="8">
        <f>Input!H27/Input!H$7</f>
        <v>462.2358191559357</v>
      </c>
      <c r="M11" s="8">
        <f>Input!I27/Input!I$7</f>
        <v>519.17810249539446</v>
      </c>
      <c r="N11" s="8">
        <f>Input!J27/Input!J$7</f>
        <v>694.86164372181338</v>
      </c>
      <c r="O11" s="8">
        <f>AVERAGE(E11:N11)</f>
        <v>488.19720780594491</v>
      </c>
    </row>
    <row r="12" spans="1:15" ht="3" customHeight="1" x14ac:dyDescent="0.2">
      <c r="B12" s="19"/>
      <c r="E12" s="6"/>
      <c r="F12" s="6"/>
      <c r="G12" s="6"/>
      <c r="H12" s="6"/>
      <c r="I12" s="6"/>
      <c r="J12" s="6"/>
      <c r="K12" s="6"/>
      <c r="L12" s="6"/>
      <c r="M12" s="6"/>
      <c r="N12" s="6"/>
      <c r="O12" s="6"/>
    </row>
    <row r="13" spans="1:15" ht="12" customHeight="1" x14ac:dyDescent="0.2">
      <c r="B13" s="28" t="s">
        <v>69</v>
      </c>
      <c r="E13" s="8">
        <f>Input!A28/Input!A$7</f>
        <v>0.10488117542648653</v>
      </c>
      <c r="F13" s="8">
        <f>Input!B28/Input!B$7</f>
        <v>0.39868148012120097</v>
      </c>
      <c r="G13" s="8">
        <f>Input!C28/Input!C$7</f>
        <v>0.18210448994582681</v>
      </c>
      <c r="H13" s="8">
        <f>Input!D28/Input!D$7</f>
        <v>0.96712488521579432</v>
      </c>
      <c r="I13" s="8">
        <f>Input!E28/Input!E$7</f>
        <v>0.42739944903581267</v>
      </c>
      <c r="J13" s="8">
        <f>Input!F28/Input!F$7</f>
        <v>1.0983115195395898</v>
      </c>
      <c r="K13" s="8">
        <f>Input!G28/Input!G$7</f>
        <v>0.81369256474519636</v>
      </c>
      <c r="L13" s="8">
        <f>Input!H28/Input!H$7</f>
        <v>0.6839665382084783</v>
      </c>
      <c r="M13" s="8">
        <f>Input!I28/Input!I$7</f>
        <v>1.1667626863171998</v>
      </c>
      <c r="N13" s="8">
        <f>Input!J28/Input!J$7</f>
        <v>0.41773320674103964</v>
      </c>
      <c r="O13" s="8">
        <f>AVERAGE(E13:N13)</f>
        <v>0.62606579952966257</v>
      </c>
    </row>
    <row r="14" spans="1:15" ht="3" customHeight="1" x14ac:dyDescent="0.2">
      <c r="B14" s="19"/>
      <c r="O14" s="6"/>
    </row>
    <row r="15" spans="1:15" ht="12" customHeight="1" x14ac:dyDescent="0.2">
      <c r="B15" t="s">
        <v>183</v>
      </c>
      <c r="E15" s="16">
        <f>Input!A136/Input!A$7</f>
        <v>6.9731002859678535</v>
      </c>
      <c r="F15" s="16">
        <f>Input!B136/Input!B$7</f>
        <v>6.2725571572858323</v>
      </c>
      <c r="G15" s="16">
        <f>Input!C136/Input!C$7</f>
        <v>7.1381002662749058</v>
      </c>
      <c r="H15" s="16">
        <f>Input!D136/Input!D$7</f>
        <v>6.1007318640955006</v>
      </c>
      <c r="I15" s="16">
        <f>Input!E136/Input!E$7</f>
        <v>6.0023526170798904</v>
      </c>
      <c r="J15" s="16">
        <f>Input!F136/Input!F$7</f>
        <v>5.778721804511278</v>
      </c>
      <c r="K15" s="16">
        <f>Input!G136/Input!G$7</f>
        <v>5.8092852501624428</v>
      </c>
      <c r="L15" s="16">
        <f>Input!H136/Input!H$7</f>
        <v>8.5956302284049251</v>
      </c>
      <c r="M15" s="16">
        <f>Input!I136/Input!I$7</f>
        <v>8.7882532239155928</v>
      </c>
      <c r="N15" s="16">
        <f>Input!J136/Input!J$7</f>
        <v>6.303229290291954</v>
      </c>
      <c r="O15" s="6">
        <f t="shared" ref="O15:O26" si="1">AVERAGE(E15:N15)</f>
        <v>6.7761961987990178</v>
      </c>
    </row>
    <row r="16" spans="1:15" ht="12" customHeight="1" x14ac:dyDescent="0.2">
      <c r="B16" t="s">
        <v>184</v>
      </c>
      <c r="E16" s="16">
        <f>Input!A137/Input!A$7</f>
        <v>2.7515984616901688</v>
      </c>
      <c r="F16" s="16">
        <f>Input!B137/Input!B$7</f>
        <v>11.529734643283446</v>
      </c>
      <c r="G16" s="16">
        <f>Input!C137/Input!C$7</f>
        <v>8.8154641447066382</v>
      </c>
      <c r="H16" s="16">
        <f>Input!D137/Input!D$7</f>
        <v>9.419993572084481</v>
      </c>
      <c r="I16" s="16">
        <f>Input!E137/Input!E$7</f>
        <v>9.2489017447199267</v>
      </c>
      <c r="J16" s="16">
        <f>Input!F137/Input!F$7</f>
        <v>8.4734391534391538</v>
      </c>
      <c r="K16" s="16">
        <f>Input!G137/Input!G$7</f>
        <v>8.8675670658126808</v>
      </c>
      <c r="L16" s="16">
        <f>Input!H137/Input!H$7</f>
        <v>8.9620368455681927</v>
      </c>
      <c r="M16" s="16">
        <f>Input!I137/Input!I$7</f>
        <v>16.653354546977056</v>
      </c>
      <c r="N16" s="16">
        <f>Input!J137/Input!J$7</f>
        <v>12.020903156895324</v>
      </c>
      <c r="O16" s="6">
        <f t="shared" si="1"/>
        <v>9.6742993335177072</v>
      </c>
    </row>
    <row r="17" spans="2:15" ht="12" customHeight="1" x14ac:dyDescent="0.2">
      <c r="B17" t="s">
        <v>185</v>
      </c>
      <c r="E17" s="16">
        <f>Input!A138/Input!A$7</f>
        <v>8.2626042796568395</v>
      </c>
      <c r="F17" s="16">
        <f>Input!B138/Input!B$7</f>
        <v>5.6775245615645948</v>
      </c>
      <c r="G17" s="16">
        <f>Input!C138/Input!C$7</f>
        <v>5.1337140758424384</v>
      </c>
      <c r="H17" s="16">
        <f>Input!D138/Input!D$7</f>
        <v>4.9734214876033054</v>
      </c>
      <c r="I17" s="16">
        <f>Input!E138/Input!E$7</f>
        <v>4.9050110192837462</v>
      </c>
      <c r="J17" s="16">
        <f>Input!F138/Input!F$7</f>
        <v>4.8960438132367958</v>
      </c>
      <c r="K17" s="16">
        <f>Input!G138/Input!G$7</f>
        <v>6.0734892787524366</v>
      </c>
      <c r="L17" s="16">
        <f>Input!H138/Input!H$7</f>
        <v>0</v>
      </c>
      <c r="M17" s="16">
        <f>Input!I138/Input!I$7</f>
        <v>0</v>
      </c>
      <c r="N17" s="16">
        <f>Input!J138/Input!J$7</f>
        <v>0</v>
      </c>
      <c r="O17" s="6">
        <f t="shared" si="1"/>
        <v>3.9921808515940156</v>
      </c>
    </row>
    <row r="18" spans="2:15" ht="12" customHeight="1" x14ac:dyDescent="0.2">
      <c r="B18" t="s">
        <v>186</v>
      </c>
      <c r="E18" s="16">
        <f>Input!A139/Input!A$7</f>
        <v>6.1579035598067255</v>
      </c>
      <c r="F18" s="16">
        <f>Input!B139/Input!B$7</f>
        <v>6.0891121109172719</v>
      </c>
      <c r="G18" s="16">
        <f>Input!C139/Input!C$7</f>
        <v>6.3788954182352402</v>
      </c>
      <c r="H18" s="16">
        <f>Input!D139/Input!D$7</f>
        <v>6.0817107438016533</v>
      </c>
      <c r="I18" s="16">
        <f>Input!E139/Input!E$7</f>
        <v>10.124862258953168</v>
      </c>
      <c r="J18" s="16">
        <f>Input!F139/Input!F$7</f>
        <v>5.4797215260373155</v>
      </c>
      <c r="K18" s="16">
        <f>Input!G139/Input!G$7</f>
        <v>20.917190197716515</v>
      </c>
      <c r="L18" s="16">
        <f>Input!H139/Input!H$7</f>
        <v>6.373806748754582</v>
      </c>
      <c r="M18" s="16">
        <f>Input!I139/Input!I$7</f>
        <v>13.16827332105175</v>
      </c>
      <c r="N18" s="16">
        <f>Input!J139/Input!J$7</f>
        <v>9.9762046047946829</v>
      </c>
      <c r="O18" s="6">
        <f t="shared" si="1"/>
        <v>9.0747680490068898</v>
      </c>
    </row>
    <row r="19" spans="2:15" ht="13.5" customHeight="1" x14ac:dyDescent="0.2">
      <c r="B19" t="s">
        <v>311</v>
      </c>
      <c r="E19" s="16">
        <f>E20-SUM(E15:E18)</f>
        <v>0</v>
      </c>
      <c r="F19" s="16">
        <f t="shared" ref="F19:N19" si="2">F20-SUM(F15:F18)</f>
        <v>0</v>
      </c>
      <c r="G19" s="16">
        <f t="shared" si="2"/>
        <v>0</v>
      </c>
      <c r="H19" s="16">
        <f t="shared" si="2"/>
        <v>0.13085399449035862</v>
      </c>
      <c r="I19" s="16">
        <f t="shared" si="2"/>
        <v>0</v>
      </c>
      <c r="J19" s="16">
        <f t="shared" si="2"/>
        <v>0</v>
      </c>
      <c r="K19" s="16">
        <f t="shared" si="2"/>
        <v>0</v>
      </c>
      <c r="L19" s="16">
        <f t="shared" si="2"/>
        <v>0.23521947551461864</v>
      </c>
      <c r="M19" s="16">
        <f t="shared" si="2"/>
        <v>0</v>
      </c>
      <c r="N19" s="16">
        <f t="shared" si="2"/>
        <v>0</v>
      </c>
      <c r="O19" s="6">
        <f t="shared" si="1"/>
        <v>3.6607347000497725E-2</v>
      </c>
    </row>
    <row r="20" spans="2:15" ht="12.75" customHeight="1" x14ac:dyDescent="0.2">
      <c r="B20" s="28" t="s">
        <v>187</v>
      </c>
      <c r="E20" s="8">
        <f>Input!A141/Input!A$7</f>
        <v>24.145206587121585</v>
      </c>
      <c r="F20" s="8">
        <f>Input!B141/Input!B$7</f>
        <v>29.568928473051145</v>
      </c>
      <c r="G20" s="8">
        <f>Input!C141/Input!C$7</f>
        <v>27.466173905059222</v>
      </c>
      <c r="H20" s="8">
        <f>Input!D141/Input!D$7</f>
        <v>26.7067116620753</v>
      </c>
      <c r="I20" s="8">
        <f>Input!E141/Input!E$7</f>
        <v>30.281127640036729</v>
      </c>
      <c r="J20" s="8">
        <f>Input!F141/Input!F$7</f>
        <v>24.627926297224544</v>
      </c>
      <c r="K20" s="8">
        <f>Input!G141/Input!G$7</f>
        <v>41.667531792444073</v>
      </c>
      <c r="L20" s="8">
        <f>Input!H141/Input!H$7</f>
        <v>24.166693298242318</v>
      </c>
      <c r="M20" s="8">
        <f>Input!I141/Input!I$7</f>
        <v>38.609881091944402</v>
      </c>
      <c r="N20" s="8">
        <f>Input!J141/Input!J$7</f>
        <v>28.300337051981963</v>
      </c>
      <c r="O20" s="8">
        <f t="shared" si="1"/>
        <v>29.554051779918119</v>
      </c>
    </row>
    <row r="21" spans="2:15" ht="3" customHeight="1" x14ac:dyDescent="0.2">
      <c r="B21" s="19"/>
      <c r="E21" s="6"/>
      <c r="F21" s="6"/>
      <c r="G21" s="6"/>
      <c r="H21" s="6"/>
      <c r="I21" s="6"/>
      <c r="J21" s="6"/>
      <c r="K21" s="6"/>
      <c r="L21" s="6"/>
      <c r="M21" s="6"/>
      <c r="N21" s="6"/>
      <c r="O21" s="6"/>
    </row>
    <row r="22" spans="2:15" ht="12" customHeight="1" x14ac:dyDescent="0.2">
      <c r="B22" t="s">
        <v>304</v>
      </c>
      <c r="E22" s="6">
        <f>Input!A202/Input!A$7</f>
        <v>1.9764816093087467</v>
      </c>
      <c r="F22" s="6">
        <f>Input!B202/Input!B$7</f>
        <v>3.6537765127169219</v>
      </c>
      <c r="G22" s="6">
        <f>Input!C202/Input!C$7</f>
        <v>0.75805068405105136</v>
      </c>
      <c r="H22" s="6">
        <f>Input!D202/Input!D$7</f>
        <v>0.59021579430670335</v>
      </c>
      <c r="I22" s="6">
        <f>Input!E202/Input!E$7</f>
        <v>1.4476382001836547</v>
      </c>
      <c r="J22" s="6">
        <f>Input!F202/Input!F$7</f>
        <v>0.28903833658219624</v>
      </c>
      <c r="K22" s="6">
        <f>Input!G202/Input!G$7</f>
        <v>1.0594012809802285</v>
      </c>
      <c r="L22" s="6">
        <f>Input!H202/Input!H$7</f>
        <v>0.39888335369865591</v>
      </c>
      <c r="M22" s="6">
        <f>Input!I202/Input!I$7</f>
        <v>0.45332440127281864</v>
      </c>
      <c r="N22" s="6">
        <f>Input!J202/Input!J$7</f>
        <v>18.923187752195584</v>
      </c>
      <c r="O22" s="6">
        <f t="shared" si="1"/>
        <v>2.9549997925296561</v>
      </c>
    </row>
    <row r="23" spans="2:15" ht="12" customHeight="1" x14ac:dyDescent="0.2">
      <c r="B23" t="s">
        <v>305</v>
      </c>
      <c r="E23" s="6">
        <f>Input!A203/Input!A$7</f>
        <v>31.63702001774973</v>
      </c>
      <c r="F23" s="6">
        <f>Input!B203/Input!B$7</f>
        <v>32.497714626756036</v>
      </c>
      <c r="G23" s="6">
        <f>Input!C203/Input!C$7</f>
        <v>31.063386282251404</v>
      </c>
      <c r="H23" s="6">
        <f>Input!D203/Input!D$7</f>
        <v>22.816924701561064</v>
      </c>
      <c r="I23" s="6">
        <f>Input!E203/Input!E$7</f>
        <v>25.232138659320476</v>
      </c>
      <c r="J23" s="6">
        <f>Input!F203/Input!F$7</f>
        <v>21.499142300194933</v>
      </c>
      <c r="K23" s="6">
        <f>Input!G203/Input!G$7</f>
        <v>17.959456975772767</v>
      </c>
      <c r="L23" s="6">
        <f>Input!H203/Input!H$7</f>
        <v>21.10549111758624</v>
      </c>
      <c r="M23" s="6">
        <f>Input!I203/Input!I$7</f>
        <v>12.824176854798193</v>
      </c>
      <c r="N23" s="6">
        <f>Input!J203/Input!J$7</f>
        <v>30.364341324471873</v>
      </c>
      <c r="O23" s="6">
        <f t="shared" si="1"/>
        <v>24.699979286046272</v>
      </c>
    </row>
    <row r="24" spans="2:15" ht="12" customHeight="1" x14ac:dyDescent="0.2">
      <c r="B24" t="s">
        <v>306</v>
      </c>
      <c r="E24" s="6">
        <f>Input!A204/Input!A$7</f>
        <v>0</v>
      </c>
      <c r="F24" s="6">
        <f>Input!B204/Input!B$7</f>
        <v>0</v>
      </c>
      <c r="G24" s="6">
        <f>Input!C204/Input!C$7</f>
        <v>0.14861261592140299</v>
      </c>
      <c r="H24" s="6">
        <f>Input!D204/Input!D$7</f>
        <v>1.1723893480257117</v>
      </c>
      <c r="I24" s="6">
        <f>Input!E204/Input!E$7</f>
        <v>3.3823691460055094E-2</v>
      </c>
      <c r="J24" s="6">
        <f>Input!F204/Input!F$7</f>
        <v>3.0781583588601134E-2</v>
      </c>
      <c r="K24" s="6">
        <f>Input!G204/Input!G$7</f>
        <v>0.10113988675392184</v>
      </c>
      <c r="L24" s="6">
        <f>Input!H204/Input!H$7</f>
        <v>0</v>
      </c>
      <c r="M24" s="6">
        <f>Input!I204/Input!I$7</f>
        <v>0</v>
      </c>
      <c r="N24" s="6">
        <f>Input!J204/Input!J$7</f>
        <v>5.1050261096605745</v>
      </c>
      <c r="O24" s="6">
        <f t="shared" si="1"/>
        <v>0.65917732354102676</v>
      </c>
    </row>
    <row r="25" spans="2:15" ht="12" customHeight="1" x14ac:dyDescent="0.2">
      <c r="B25" t="s">
        <v>307</v>
      </c>
      <c r="E25" s="6">
        <f>Input!A205/Input!A$7</f>
        <v>6.6248910363869449</v>
      </c>
      <c r="F25" s="6">
        <f>Input!B205/Input!B$7</f>
        <v>1.9276705536681662</v>
      </c>
      <c r="G25" s="6">
        <f>Input!C205/Input!C$7</f>
        <v>1.4906050867688918</v>
      </c>
      <c r="H25" s="6">
        <f>Input!D205/Input!D$7</f>
        <v>1.6877346189164371</v>
      </c>
      <c r="I25" s="6">
        <f>Input!E205/Input!E$7</f>
        <v>3.867388429752066</v>
      </c>
      <c r="J25" s="6">
        <f>Input!F205/Input!F$7</f>
        <v>1.6842086698227048</v>
      </c>
      <c r="K25" s="6">
        <f>Input!G205/Input!G$7</f>
        <v>1.8081871345029239</v>
      </c>
      <c r="L25" s="6">
        <f>Input!H205/Input!H$7</f>
        <v>2.6184660212425981</v>
      </c>
      <c r="M25" s="6">
        <f>Input!I205/Input!I$7</f>
        <v>2.6446390889298272</v>
      </c>
      <c r="N25" s="6">
        <f>Input!J205/Input!J$7</f>
        <v>4.4424436268692142</v>
      </c>
      <c r="O25" s="6">
        <f t="shared" si="1"/>
        <v>2.8796234266859773</v>
      </c>
    </row>
    <row r="26" spans="2:15" ht="12" customHeight="1" x14ac:dyDescent="0.2">
      <c r="B26" t="s">
        <v>308</v>
      </c>
      <c r="E26" s="16">
        <f>E27-SUM(E22:E25)</f>
        <v>9.3129878710186347</v>
      </c>
      <c r="F26" s="16">
        <f t="shared" ref="F26:N26" si="3">F27-SUM(F22:F25)</f>
        <v>15.152022771095396</v>
      </c>
      <c r="G26" s="16">
        <f t="shared" si="3"/>
        <v>2.8309429804425577</v>
      </c>
      <c r="H26" s="16">
        <f t="shared" si="3"/>
        <v>3.4979146005509634</v>
      </c>
      <c r="I26" s="16">
        <f t="shared" si="3"/>
        <v>2.595524334251607</v>
      </c>
      <c r="J26" s="16">
        <f t="shared" si="3"/>
        <v>4.006365914786965</v>
      </c>
      <c r="K26" s="16">
        <f t="shared" si="3"/>
        <v>4.5758693028868436</v>
      </c>
      <c r="L26" s="16">
        <f t="shared" si="3"/>
        <v>3.7914381050850636</v>
      </c>
      <c r="M26" s="16">
        <f t="shared" si="3"/>
        <v>5.3255049405459722</v>
      </c>
      <c r="N26" s="16">
        <f t="shared" si="3"/>
        <v>3.0136090671730429</v>
      </c>
      <c r="O26" s="6">
        <f t="shared" si="1"/>
        <v>5.410217988783705</v>
      </c>
    </row>
    <row r="27" spans="2:15" ht="12.75" customHeight="1" x14ac:dyDescent="0.2">
      <c r="B27" s="28" t="s">
        <v>188</v>
      </c>
      <c r="E27" s="8">
        <f>Input!A142/Input!A$7</f>
        <v>49.551380534464059</v>
      </c>
      <c r="F27" s="8">
        <f>Input!B142/Input!B$7</f>
        <v>53.23118446423652</v>
      </c>
      <c r="G27" s="8">
        <f>Input!C142/Input!C$7</f>
        <v>36.29159764943531</v>
      </c>
      <c r="H27" s="8">
        <f>Input!D142/Input!D$7</f>
        <v>29.765179063360879</v>
      </c>
      <c r="I27" s="8">
        <f>Input!E142/Input!E$7</f>
        <v>33.176513314967856</v>
      </c>
      <c r="J27" s="8">
        <f>Input!F142/Input!F$7</f>
        <v>27.509536804975401</v>
      </c>
      <c r="K27" s="8">
        <f>Input!G142/Input!G$7</f>
        <v>25.504054580896685</v>
      </c>
      <c r="L27" s="8">
        <f>Input!H142/Input!H$7</f>
        <v>27.914278597612558</v>
      </c>
      <c r="M27" s="8">
        <f>Input!I142/Input!I$7</f>
        <v>21.24764528554681</v>
      </c>
      <c r="N27" s="8">
        <f>Input!J142/Input!J$7</f>
        <v>61.848607880370281</v>
      </c>
      <c r="O27" s="8">
        <f>AVERAGE(E27:N27)</f>
        <v>36.603997817586631</v>
      </c>
    </row>
    <row r="28" spans="2:15" ht="3" customHeight="1" x14ac:dyDescent="0.2">
      <c r="B28" s="19"/>
      <c r="E28" s="6"/>
      <c r="F28" s="6"/>
      <c r="G28" s="6"/>
      <c r="H28" s="6"/>
      <c r="I28" s="6"/>
      <c r="J28" s="6"/>
      <c r="K28" s="6"/>
      <c r="L28" s="6"/>
      <c r="M28" s="6"/>
      <c r="N28" s="6"/>
      <c r="O28" s="6"/>
    </row>
    <row r="29" spans="2:15" ht="12" customHeight="1" x14ac:dyDescent="0.2">
      <c r="B29" t="s">
        <v>189</v>
      </c>
      <c r="E29" s="16">
        <f>Input!A143/Input!A$7</f>
        <v>16.35870920027611</v>
      </c>
      <c r="F29" s="16">
        <f>Input!B143/Input!B$7</f>
        <v>16.073633275181344</v>
      </c>
      <c r="G29" s="16">
        <f>Input!C143/Input!C$7</f>
        <v>19.540207510788726</v>
      </c>
      <c r="H29" s="16">
        <f>Input!D143/Input!D$7</f>
        <v>10.322430670339761</v>
      </c>
      <c r="I29" s="16">
        <f>Input!E143/Input!E$7</f>
        <v>4.8208631772268129</v>
      </c>
      <c r="J29" s="16">
        <f>Input!F143/Input!F$7</f>
        <v>7.8856743711129669</v>
      </c>
      <c r="K29" s="16">
        <f>Input!G143/Input!G$7</f>
        <v>8.5267771280051985</v>
      </c>
      <c r="L29" s="16">
        <f>Input!H143/Input!H$7</f>
        <v>8.3663342419400308</v>
      </c>
      <c r="M29" s="16">
        <f>Input!I143/Input!I$7</f>
        <v>0.44883604086417683</v>
      </c>
      <c r="N29" s="16">
        <f>Input!J143/Input!J$7</f>
        <v>0.40469973890339428</v>
      </c>
      <c r="O29" s="16">
        <f t="shared" ref="O29:O35" si="4">AVERAGE(E29:N29)</f>
        <v>9.2748165354638523</v>
      </c>
    </row>
    <row r="30" spans="2:15" ht="12" customHeight="1" x14ac:dyDescent="0.2">
      <c r="B30" t="s">
        <v>309</v>
      </c>
      <c r="E30" s="16">
        <f>Input!A207/Input!A$7</f>
        <v>1.4984360516714328</v>
      </c>
      <c r="F30" s="16">
        <f>Input!B207/Input!B$7</f>
        <v>1.333892204572583</v>
      </c>
      <c r="G30" s="16">
        <f>Input!C207/Input!C$7</f>
        <v>1.3846662381783124</v>
      </c>
      <c r="H30" s="16">
        <f>Input!D207/Input!D$7</f>
        <v>9.8523415977961424</v>
      </c>
      <c r="I30" s="16">
        <f>Input!E207/Input!E$7</f>
        <v>10.128059687786962</v>
      </c>
      <c r="J30" s="16">
        <f>Input!F207/Input!F$7</f>
        <v>7.588038615056159</v>
      </c>
      <c r="K30" s="16">
        <f>Input!G207/Input!G$7</f>
        <v>1.8306878306878307</v>
      </c>
      <c r="L30" s="16">
        <f>Input!H207/Input!H$7</f>
        <v>1.5790957796785412</v>
      </c>
      <c r="M30" s="16">
        <f>Input!I207/Input!I$7</f>
        <v>0</v>
      </c>
      <c r="N30" s="16">
        <f>Input!J207/Input!J$7</f>
        <v>0</v>
      </c>
      <c r="O30" s="6">
        <f t="shared" si="4"/>
        <v>3.5195218005427962</v>
      </c>
    </row>
    <row r="31" spans="2:15" ht="12" customHeight="1" x14ac:dyDescent="0.2">
      <c r="B31" t="s">
        <v>190</v>
      </c>
      <c r="E31" s="16">
        <f>Input!A144/Input!A$7</f>
        <v>0</v>
      </c>
      <c r="F31" s="16">
        <f>Input!B144/Input!B$7</f>
        <v>0.10721237719217704</v>
      </c>
      <c r="G31" s="16">
        <f>Input!C144/Input!C$7</f>
        <v>0.10721237719217704</v>
      </c>
      <c r="H31" s="16">
        <f>Input!D144/Input!D$7</f>
        <v>0.10722222222222223</v>
      </c>
      <c r="I31" s="16">
        <f>Input!E144/Input!E$7</f>
        <v>0.10724058769513314</v>
      </c>
      <c r="J31" s="16">
        <f>Input!F144/Input!F$7</f>
        <v>0.10838670750951454</v>
      </c>
      <c r="K31" s="16">
        <f>Input!G144/Input!G$7</f>
        <v>0.5051573377889168</v>
      </c>
      <c r="L31" s="16">
        <f>Input!H144/Input!H$7</f>
        <v>1.2028367327756369</v>
      </c>
      <c r="M31" s="16">
        <f>Input!I144/Input!I$7</f>
        <v>0.19555350862502094</v>
      </c>
      <c r="N31" s="16">
        <f>Input!J144/Input!J$7</f>
        <v>0.63956206978400187</v>
      </c>
      <c r="O31" s="6">
        <f t="shared" si="4"/>
        <v>0.30803839207848005</v>
      </c>
    </row>
    <row r="32" spans="2:15" ht="12" customHeight="1" x14ac:dyDescent="0.2">
      <c r="B32" t="s">
        <v>310</v>
      </c>
      <c r="E32" s="16">
        <f>Input!A208/Input!A$7</f>
        <v>1.0945666107878907E-2</v>
      </c>
      <c r="F32" s="16">
        <f>Input!B208/Input!B$7</f>
        <v>2.7545679919199338E-2</v>
      </c>
      <c r="G32" s="16">
        <f>Input!C208/Input!C$7</f>
        <v>1.8363786612799558E-2</v>
      </c>
      <c r="H32" s="16">
        <f>Input!D208/Input!D$7</f>
        <v>1.8365472910927456E-2</v>
      </c>
      <c r="I32" s="16">
        <f>Input!E208/Input!E$7</f>
        <v>1.8365472910927456E-2</v>
      </c>
      <c r="J32" s="16">
        <f>Input!F208/Input!F$7</f>
        <v>3.2662211083263712E-2</v>
      </c>
      <c r="K32" s="16">
        <f>Input!G208/Input!G$7</f>
        <v>0.28622203657291373</v>
      </c>
      <c r="L32" s="16">
        <f>Input!H208/Input!H$7</f>
        <v>1.8798759281887397E-2</v>
      </c>
      <c r="M32" s="16">
        <f>Input!I208/Input!I$7</f>
        <v>3.349522693016245E-2</v>
      </c>
      <c r="N32" s="16">
        <f>Input!J208/Input!J$7</f>
        <v>1.350328744362687</v>
      </c>
      <c r="O32" s="6">
        <f t="shared" si="4"/>
        <v>0.18150930566926471</v>
      </c>
    </row>
    <row r="33" spans="2:15" ht="12" customHeight="1" x14ac:dyDescent="0.2">
      <c r="B33" t="s">
        <v>191</v>
      </c>
      <c r="E33" s="16">
        <f>Input!A145/Input!A$7</f>
        <v>0.31307168918252637</v>
      </c>
      <c r="F33" s="16">
        <f>Input!B145/Input!B$7</f>
        <v>0.54928105775410896</v>
      </c>
      <c r="G33" s="16">
        <f>Input!C145/Input!C$7</f>
        <v>0.7092691212928105</v>
      </c>
      <c r="H33" s="16">
        <f>Input!D145/Input!D$7</f>
        <v>1.4238815426997244</v>
      </c>
      <c r="I33" s="16">
        <f>Input!E145/Input!E$7</f>
        <v>1.2139605142332415</v>
      </c>
      <c r="J33" s="16">
        <f>Input!F145/Input!F$7</f>
        <v>1.1130585723568178</v>
      </c>
      <c r="K33" s="16">
        <f>Input!G145/Input!G$7</f>
        <v>0.74735635384758192</v>
      </c>
      <c r="L33" s="16">
        <f>Input!H145/Input!H$7</f>
        <v>0</v>
      </c>
      <c r="M33" s="16">
        <f>Input!I145/Input!I$7</f>
        <v>0</v>
      </c>
      <c r="N33" s="16">
        <f>Input!J145/Input!J$7</f>
        <v>6.5274151436031339E-2</v>
      </c>
      <c r="O33" s="6">
        <f t="shared" si="4"/>
        <v>0.61351530028028434</v>
      </c>
    </row>
    <row r="34" spans="2:15" ht="12" customHeight="1" x14ac:dyDescent="0.2">
      <c r="B34" t="s">
        <v>192</v>
      </c>
      <c r="E34" s="16">
        <f>E35-SUM(E29:E33)</f>
        <v>0.21345035006409319</v>
      </c>
      <c r="F34" s="16">
        <f t="shared" ref="F34:N34" si="5">F35-SUM(F29:F33)</f>
        <v>0.19310531631622396</v>
      </c>
      <c r="G34" s="16">
        <f t="shared" si="5"/>
        <v>0.19680194656138283</v>
      </c>
      <c r="H34" s="16">
        <f t="shared" si="5"/>
        <v>0.18365472910927494</v>
      </c>
      <c r="I34" s="16">
        <f t="shared" si="5"/>
        <v>5.322101010101008</v>
      </c>
      <c r="J34" s="16">
        <f t="shared" si="5"/>
        <v>0.18564930845632688</v>
      </c>
      <c r="K34" s="16">
        <f t="shared" si="5"/>
        <v>0</v>
      </c>
      <c r="L34" s="16">
        <f t="shared" si="5"/>
        <v>0</v>
      </c>
      <c r="M34" s="16">
        <f t="shared" si="5"/>
        <v>0</v>
      </c>
      <c r="N34" s="16">
        <f t="shared" si="5"/>
        <v>0</v>
      </c>
      <c r="O34" s="6">
        <f t="shared" si="4"/>
        <v>0.62947626606083096</v>
      </c>
    </row>
    <row r="35" spans="2:15" ht="12.75" customHeight="1" x14ac:dyDescent="0.2">
      <c r="B35" s="28" t="s">
        <v>193</v>
      </c>
      <c r="E35" s="8">
        <f>Input!A147/Input!A$7</f>
        <v>18.394612957302041</v>
      </c>
      <c r="F35" s="8">
        <f>Input!B147/Input!B$7</f>
        <v>18.284669910935634</v>
      </c>
      <c r="G35" s="8">
        <f>Input!C147/Input!C$7</f>
        <v>21.956520980626205</v>
      </c>
      <c r="H35" s="8">
        <f>Input!D147/Input!D$7</f>
        <v>21.907896235078052</v>
      </c>
      <c r="I35" s="8">
        <f>Input!E147/Input!E$7</f>
        <v>21.610590449954085</v>
      </c>
      <c r="J35" s="8">
        <f>Input!F147/Input!F$7</f>
        <v>16.91346978557505</v>
      </c>
      <c r="K35" s="8">
        <f>Input!G147/Input!G$7</f>
        <v>11.896200686902441</v>
      </c>
      <c r="L35" s="8">
        <f>Input!H147/Input!H$7</f>
        <v>11.167065513676098</v>
      </c>
      <c r="M35" s="8">
        <f>Input!I147/Input!I$7</f>
        <v>0.67788477641936029</v>
      </c>
      <c r="N35" s="8">
        <f>Input!J147/Input!J$7</f>
        <v>2.4598647044861144</v>
      </c>
      <c r="O35" s="8">
        <f t="shared" si="4"/>
        <v>14.526877600095508</v>
      </c>
    </row>
    <row r="36" spans="2:15" ht="6" customHeight="1" x14ac:dyDescent="0.2">
      <c r="B36" s="19"/>
      <c r="E36" s="8"/>
      <c r="F36" s="8"/>
      <c r="G36" s="8"/>
      <c r="H36" s="8"/>
      <c r="I36" s="8"/>
      <c r="J36" s="8"/>
      <c r="K36" s="8"/>
      <c r="L36" s="8"/>
      <c r="M36" s="8"/>
      <c r="N36" s="8"/>
      <c r="O36" s="6"/>
    </row>
    <row r="37" spans="2:15" ht="12.75" customHeight="1" x14ac:dyDescent="0.2">
      <c r="B37" s="29" t="s">
        <v>194</v>
      </c>
      <c r="E37" s="30">
        <f>+E11+E13+E20+E27+E35</f>
        <v>558.32699635144468</v>
      </c>
      <c r="F37" s="30">
        <f t="shared" ref="F37:N37" si="6">+F11+F13+F20+F27+F35</f>
        <v>568.42717656780815</v>
      </c>
      <c r="G37" s="30">
        <f t="shared" si="6"/>
        <v>582.09496373152137</v>
      </c>
      <c r="H37" s="30">
        <f t="shared" si="6"/>
        <v>535.14117539026631</v>
      </c>
      <c r="I37" s="30">
        <f t="shared" si="6"/>
        <v>478.02494214876037</v>
      </c>
      <c r="J37" s="30">
        <f t="shared" si="6"/>
        <v>523.68556298152794</v>
      </c>
      <c r="K37" s="30">
        <f t="shared" si="6"/>
        <v>554.44490485472943</v>
      </c>
      <c r="L37" s="30">
        <f t="shared" si="6"/>
        <v>526.16782310367512</v>
      </c>
      <c r="M37" s="30">
        <f t="shared" si="6"/>
        <v>580.88027633562217</v>
      </c>
      <c r="N37" s="30">
        <f t="shared" si="6"/>
        <v>787.88818656539274</v>
      </c>
      <c r="O37" s="7">
        <f>AVERAGE(E37:N37)</f>
        <v>569.50820080307483</v>
      </c>
    </row>
    <row r="38" spans="2:15" ht="6" customHeight="1" x14ac:dyDescent="0.2">
      <c r="E38" s="7"/>
      <c r="F38" s="7"/>
      <c r="G38" s="7"/>
      <c r="H38" s="7"/>
      <c r="I38" s="7"/>
      <c r="J38" s="7"/>
      <c r="K38" s="7"/>
      <c r="L38" s="7"/>
      <c r="M38" s="7"/>
      <c r="N38" s="7"/>
      <c r="O38" s="6"/>
    </row>
    <row r="39" spans="2:15" ht="12.75" customHeight="1" x14ac:dyDescent="0.2">
      <c r="B39" s="29" t="s">
        <v>195</v>
      </c>
      <c r="E39" s="30">
        <f>Input!A24/Input!A$7</f>
        <v>513.31613943398088</v>
      </c>
      <c r="F39" s="30">
        <f>Input!B24/Input!B$7</f>
        <v>495.81834450463685</v>
      </c>
      <c r="G39" s="30">
        <f>Input!C24/Input!C$7</f>
        <v>451.03219814525755</v>
      </c>
      <c r="H39" s="30">
        <f>Input!D24/Input!D$7</f>
        <v>459.44202387511473</v>
      </c>
      <c r="I39" s="30">
        <f>Input!E24/Input!E$7</f>
        <v>450.5418650137741</v>
      </c>
      <c r="J39" s="30">
        <f>Input!F24/Input!F$7</f>
        <v>452.20442402302052</v>
      </c>
      <c r="K39" s="30">
        <f>Input!G24/Input!G$7</f>
        <v>453.63754571614226</v>
      </c>
      <c r="L39" s="30">
        <f>Input!H24/Input!H$7</f>
        <v>452.25965128301527</v>
      </c>
      <c r="M39" s="30">
        <f>Input!I24/Input!I$7</f>
        <v>460.22041366605254</v>
      </c>
      <c r="N39" s="30">
        <f>Input!J24/Input!J$7</f>
        <v>573.86907666745788</v>
      </c>
      <c r="O39" s="7">
        <f>AVERAGE(E39:N39)</f>
        <v>476.23416823284526</v>
      </c>
    </row>
    <row r="40" spans="2:15" ht="6" customHeight="1" x14ac:dyDescent="0.2">
      <c r="E40" s="6"/>
      <c r="F40" s="6"/>
      <c r="G40" s="6"/>
      <c r="H40" s="6"/>
      <c r="I40" s="6"/>
      <c r="J40" s="6"/>
      <c r="K40" s="6"/>
      <c r="L40" s="6"/>
      <c r="M40" s="6"/>
      <c r="N40" s="6"/>
      <c r="O40" s="6"/>
    </row>
    <row r="41" spans="2:15" ht="12.75" customHeight="1" x14ac:dyDescent="0.2">
      <c r="B41" s="31" t="s">
        <v>73</v>
      </c>
      <c r="C41" s="10"/>
      <c r="D41" s="10"/>
      <c r="E41" s="11">
        <f>+E37-E39</f>
        <v>45.010856917463798</v>
      </c>
      <c r="F41" s="11">
        <f t="shared" ref="F41:N41" si="7">+F37-F39</f>
        <v>72.608832063171292</v>
      </c>
      <c r="G41" s="11">
        <f t="shared" si="7"/>
        <v>131.06276558626382</v>
      </c>
      <c r="H41" s="11">
        <f t="shared" si="7"/>
        <v>75.699151515151584</v>
      </c>
      <c r="I41" s="11">
        <f t="shared" si="7"/>
        <v>27.483077134986274</v>
      </c>
      <c r="J41" s="11">
        <f t="shared" si="7"/>
        <v>71.481138958507415</v>
      </c>
      <c r="K41" s="11">
        <f t="shared" si="7"/>
        <v>100.80735913858717</v>
      </c>
      <c r="L41" s="11">
        <f t="shared" si="7"/>
        <v>73.908171820659845</v>
      </c>
      <c r="M41" s="11">
        <f t="shared" si="7"/>
        <v>120.65986266956963</v>
      </c>
      <c r="N41" s="11">
        <f t="shared" si="7"/>
        <v>214.01910989793487</v>
      </c>
      <c r="O41" s="11">
        <f>AVERAGE(E41:N41)</f>
        <v>93.274032570229579</v>
      </c>
    </row>
    <row r="42" spans="2:15" ht="6" customHeight="1" x14ac:dyDescent="0.2">
      <c r="E42" s="6"/>
      <c r="F42" s="6"/>
      <c r="G42" s="6"/>
      <c r="H42" s="6"/>
      <c r="I42" s="6"/>
      <c r="J42" s="6"/>
      <c r="K42" s="6"/>
      <c r="L42" s="6"/>
      <c r="M42" s="6"/>
      <c r="N42" s="6"/>
      <c r="O42" s="6"/>
    </row>
    <row r="43" spans="2:15" s="4" customFormat="1" ht="12.75" customHeight="1" x14ac:dyDescent="0.2">
      <c r="B43" s="4" t="s">
        <v>70</v>
      </c>
      <c r="E43" s="8">
        <f>(Input!A25+Input!A26)/Input!A$7</f>
        <v>14.564027216250862</v>
      </c>
      <c r="F43" s="8">
        <f>(Input!B25+Input!B26)/Input!B$7</f>
        <v>15.853744376090351</v>
      </c>
      <c r="G43" s="8">
        <f>(Input!C25+Input!C26)/Input!C$7</f>
        <v>14.705435680837388</v>
      </c>
      <c r="H43" s="8">
        <f>(Input!D25+Input!D26)/Input!D$7</f>
        <v>14.798665748393022</v>
      </c>
      <c r="I43" s="8">
        <f>(Input!E25+Input!E26)/Input!E$7</f>
        <v>14.716725436179983</v>
      </c>
      <c r="J43" s="8">
        <f>(Input!F25+Input!F26)/Input!F$7</f>
        <v>15.743215446022464</v>
      </c>
      <c r="K43" s="8">
        <f>(Input!G25+Input!G26)/Input!G$7</f>
        <v>15.963287849252762</v>
      </c>
      <c r="L43" s="8">
        <f>(Input!H25+Input!H26)/Input!H$7</f>
        <v>16.489242410000937</v>
      </c>
      <c r="M43" s="8">
        <f>(Input!I25+Input!I26)/Input!I$7</f>
        <v>18.323830179199465</v>
      </c>
      <c r="N43" s="8">
        <f>(Input!J25+Input!J26)/Input!J$7</f>
        <v>21.971731545217185</v>
      </c>
      <c r="O43" s="8">
        <f>AVERAGE(E43:N43)</f>
        <v>16.312990588744441</v>
      </c>
    </row>
    <row r="44" spans="2:15" ht="6" customHeight="1" x14ac:dyDescent="0.2">
      <c r="E44" s="17"/>
      <c r="F44" s="17"/>
      <c r="G44" s="17"/>
      <c r="H44" s="17"/>
      <c r="I44" s="17"/>
      <c r="J44" s="17"/>
      <c r="K44" s="17"/>
      <c r="L44" s="17"/>
      <c r="M44" s="17"/>
      <c r="N44" s="17"/>
      <c r="O44" s="6"/>
    </row>
    <row r="45" spans="2:15" ht="12.75" customHeight="1" x14ac:dyDescent="0.2">
      <c r="B45" s="9" t="s">
        <v>74</v>
      </c>
      <c r="C45" s="10"/>
      <c r="D45" s="10"/>
      <c r="E45" s="11">
        <f>+E41-E43</f>
        <v>30.446829701212934</v>
      </c>
      <c r="F45" s="11">
        <f t="shared" ref="F45:N45" si="8">+F41-F43</f>
        <v>56.755087687080945</v>
      </c>
      <c r="G45" s="11">
        <f t="shared" si="8"/>
        <v>116.35732990542644</v>
      </c>
      <c r="H45" s="11">
        <f t="shared" si="8"/>
        <v>60.900485766758564</v>
      </c>
      <c r="I45" s="11">
        <f t="shared" si="8"/>
        <v>12.766351698806291</v>
      </c>
      <c r="J45" s="11">
        <f t="shared" si="8"/>
        <v>55.737923512484954</v>
      </c>
      <c r="K45" s="11">
        <f t="shared" si="8"/>
        <v>84.844071289334408</v>
      </c>
      <c r="L45" s="11">
        <f t="shared" si="8"/>
        <v>57.418929410658905</v>
      </c>
      <c r="M45" s="11">
        <f t="shared" si="8"/>
        <v>102.33603249037017</v>
      </c>
      <c r="N45" s="11">
        <f t="shared" si="8"/>
        <v>192.04737835271769</v>
      </c>
      <c r="O45" s="11">
        <f>AVERAGE(E45:N45)</f>
        <v>76.961041981485124</v>
      </c>
    </row>
  </sheetData>
  <mergeCells count="3">
    <mergeCell ref="D1:M1"/>
    <mergeCell ref="D2:M2"/>
    <mergeCell ref="D3:M3"/>
  </mergeCells>
  <phoneticPr fontId="0" type="noConversion"/>
  <printOptions horizontalCentered="1"/>
  <pageMargins left="0.78740157480314965" right="0.78740157480314965" top="0.78740157480314965" bottom="0.78740157480314965" header="0.43307086614173229" footer="0.43307086614173229"/>
  <pageSetup paperSize="9" orientation="landscape" r:id="rId1"/>
  <headerFooter alignWithMargins="0">
    <oddFooter>&amp;L&amp;8BOKU / HVLFÖ&amp;C&amp;8DVR-Nr: 0890723&amp;R&amp;8&amp;D</oddFoot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O45"/>
  <sheetViews>
    <sheetView workbookViewId="0">
      <selection activeCell="D2" sqref="D2:M2"/>
    </sheetView>
  </sheetViews>
  <sheetFormatPr baseColWidth="10" defaultRowHeight="12.75" x14ac:dyDescent="0.2"/>
  <cols>
    <col min="1" max="1" width="0.85546875" customWidth="1"/>
    <col min="2" max="2" width="10.28515625" customWidth="1"/>
    <col min="3" max="3" width="8.7109375" customWidth="1"/>
    <col min="4" max="4" width="9.7109375" customWidth="1"/>
    <col min="5" max="9" width="8.7109375" customWidth="1"/>
    <col min="10" max="10" width="8.42578125" customWidth="1"/>
    <col min="11" max="13" width="8.7109375" customWidth="1"/>
    <col min="14" max="14" width="8.5703125" customWidth="1"/>
    <col min="15" max="15" width="10.7109375" customWidth="1"/>
  </cols>
  <sheetData>
    <row r="1" spans="1:15" ht="15.75" customHeight="1" x14ac:dyDescent="0.25">
      <c r="A1" t="s">
        <v>48</v>
      </c>
      <c r="C1" s="12">
        <f>Input!A3</f>
        <v>2024</v>
      </c>
      <c r="D1" s="36" t="s">
        <v>177</v>
      </c>
      <c r="E1" s="36"/>
      <c r="F1" s="36"/>
      <c r="G1" s="36"/>
      <c r="H1" s="36"/>
      <c r="I1" s="36"/>
      <c r="J1" s="36"/>
      <c r="K1" s="36"/>
      <c r="L1" s="36"/>
      <c r="M1" s="36"/>
      <c r="O1" s="3" t="s">
        <v>204</v>
      </c>
    </row>
    <row r="2" spans="1:15" ht="15.75" customHeight="1" x14ac:dyDescent="0.2">
      <c r="D2" s="37" t="str">
        <f>Kenndat!D2</f>
        <v>Produktionsgebiet 1: Alpenvorland</v>
      </c>
      <c r="E2" s="37"/>
      <c r="F2" s="37"/>
      <c r="G2" s="37"/>
      <c r="H2" s="37"/>
      <c r="I2" s="37"/>
      <c r="J2" s="37"/>
      <c r="K2" s="37"/>
      <c r="L2" s="37"/>
      <c r="M2" s="37"/>
      <c r="N2" s="5"/>
    </row>
    <row r="3" spans="1:15" ht="15.75" customHeight="1" x14ac:dyDescent="0.2">
      <c r="D3" s="38" t="s">
        <v>172</v>
      </c>
      <c r="E3" s="38"/>
      <c r="F3" s="38"/>
      <c r="G3" s="38"/>
      <c r="H3" s="38"/>
      <c r="I3" s="38"/>
      <c r="J3" s="38"/>
      <c r="K3" s="38"/>
      <c r="L3" s="38"/>
      <c r="M3" s="38"/>
      <c r="N3" s="2"/>
    </row>
    <row r="4" spans="1:15" ht="9" customHeight="1" x14ac:dyDescent="0.2"/>
    <row r="5" spans="1:15" x14ac:dyDescent="0.2">
      <c r="E5" s="3">
        <f>Input!A3</f>
        <v>2024</v>
      </c>
      <c r="F5" s="3">
        <f t="shared" ref="F5:N5" si="0">+E5-1</f>
        <v>2023</v>
      </c>
      <c r="G5" s="3">
        <f t="shared" si="0"/>
        <v>2022</v>
      </c>
      <c r="H5" s="3">
        <f t="shared" si="0"/>
        <v>2021</v>
      </c>
      <c r="I5" s="3">
        <f t="shared" si="0"/>
        <v>2020</v>
      </c>
      <c r="J5" s="3">
        <f t="shared" si="0"/>
        <v>2019</v>
      </c>
      <c r="K5" s="3">
        <f t="shared" si="0"/>
        <v>2018</v>
      </c>
      <c r="L5" s="3">
        <f t="shared" si="0"/>
        <v>2017</v>
      </c>
      <c r="M5" s="3">
        <f t="shared" si="0"/>
        <v>2016</v>
      </c>
      <c r="N5" s="3">
        <f t="shared" si="0"/>
        <v>2015</v>
      </c>
      <c r="O5" s="3" t="s">
        <v>16</v>
      </c>
    </row>
    <row r="6" spans="1:15" ht="7.5" customHeight="1" x14ac:dyDescent="0.2"/>
    <row r="7" spans="1:15" ht="12" customHeight="1" x14ac:dyDescent="0.2">
      <c r="B7" t="s">
        <v>179</v>
      </c>
      <c r="E7" s="6">
        <f>Input!A149/Input!A$7</f>
        <v>477.39275318015979</v>
      </c>
      <c r="F7" s="6">
        <f>Input!B149/Input!B$7</f>
        <v>487.81252410246992</v>
      </c>
      <c r="G7" s="6">
        <f>Input!C149/Input!C$7</f>
        <v>472.23601322192633</v>
      </c>
      <c r="H7" s="6">
        <f>Input!D149/Input!D$7</f>
        <v>423.78333425160696</v>
      </c>
      <c r="I7" s="6">
        <f>Input!E149/Input!E$7</f>
        <v>408.50257759412307</v>
      </c>
      <c r="J7" s="6">
        <f>Input!F149/Input!F$7</f>
        <v>421.67815650236707</v>
      </c>
      <c r="K7" s="6">
        <f>Input!G149/Input!G$7</f>
        <v>452.34020699897889</v>
      </c>
      <c r="L7" s="6">
        <f>Input!H149/Input!H$7</f>
        <v>465.67066829589248</v>
      </c>
      <c r="M7" s="6">
        <f>Input!I149/Input!I$7</f>
        <v>493.90173672751632</v>
      </c>
      <c r="N7" s="6">
        <f>Input!J149/Input!J$7</f>
        <v>590.60251602183712</v>
      </c>
      <c r="O7" s="6">
        <f>AVERAGE(E7:N7)</f>
        <v>469.39204868968773</v>
      </c>
    </row>
    <row r="8" spans="1:15" ht="12" customHeight="1" x14ac:dyDescent="0.2">
      <c r="B8" t="s">
        <v>180</v>
      </c>
      <c r="E8" s="6">
        <f>Input!A150/Input!A$7</f>
        <v>7.3968652006705451</v>
      </c>
      <c r="F8" s="6">
        <f>Input!B150/Input!B$7</f>
        <v>7.1931640804333856</v>
      </c>
      <c r="G8" s="6">
        <f>Input!C150/Input!C$7</f>
        <v>-16.191432375355799</v>
      </c>
      <c r="H8" s="6">
        <f>Input!D150/Input!D$7</f>
        <v>2.541376492194674</v>
      </c>
      <c r="I8" s="6">
        <f>Input!E150/Input!E$7</f>
        <v>-7.9080440771349867</v>
      </c>
      <c r="J8" s="6">
        <f>Input!F150/Input!F$7</f>
        <v>6.1370091896407688</v>
      </c>
      <c r="K8" s="6">
        <f>Input!G150/Input!G$7</f>
        <v>5.2406135709644479</v>
      </c>
      <c r="L8" s="6">
        <f>Input!H150/Input!H$7</f>
        <v>-4.0741470062975846</v>
      </c>
      <c r="M8" s="6">
        <f>Input!I150/Input!I$7</f>
        <v>29.87372131971194</v>
      </c>
      <c r="N8" s="6">
        <f>Input!J150/Input!J$7</f>
        <v>-10.519825539995253</v>
      </c>
      <c r="O8" s="6">
        <f>AVERAGE(E8:N8)</f>
        <v>1.9689300854832141</v>
      </c>
    </row>
    <row r="9" spans="1:15" ht="12" customHeight="1" x14ac:dyDescent="0.2">
      <c r="B9" t="s">
        <v>181</v>
      </c>
      <c r="E9" s="6">
        <f>Input!A151/Input!A$7</f>
        <v>1.7444482792624003</v>
      </c>
      <c r="F9" s="6">
        <f>Input!B151/Input!B$7</f>
        <v>0.69584519327885408</v>
      </c>
      <c r="G9" s="6">
        <f>Input!C151/Input!C$7</f>
        <v>1.2023597465797446</v>
      </c>
      <c r="H9" s="6">
        <f>Input!D151/Input!D$7</f>
        <v>1.4269054178145086</v>
      </c>
      <c r="I9" s="6">
        <f>Input!E151/Input!E$7</f>
        <v>0.11199816345270891</v>
      </c>
      <c r="J9" s="6">
        <f>Input!F151/Input!F$7</f>
        <v>1.0684229091246635</v>
      </c>
      <c r="K9" s="6">
        <f>Input!G151/Input!G$7</f>
        <v>0.54316160772301114</v>
      </c>
      <c r="L9" s="6">
        <f>Input!H151/Input!H$7</f>
        <v>4.0909239590187045</v>
      </c>
      <c r="M9" s="6">
        <f>Input!I151/Input!I$7</f>
        <v>0.67245520013398086</v>
      </c>
      <c r="N9" s="6">
        <f>Input!J151/Input!J$7</f>
        <v>1.5429456444338951</v>
      </c>
      <c r="O9" s="6">
        <f>AVERAGE(E9:N9)</f>
        <v>1.3099466120822474</v>
      </c>
    </row>
    <row r="10" spans="1:15" ht="12" customHeight="1" x14ac:dyDescent="0.2">
      <c r="B10" t="s">
        <v>182</v>
      </c>
      <c r="E10" s="6">
        <f>Input!A152/Input!A$7</f>
        <v>-2.5578512967162998</v>
      </c>
      <c r="F10" s="6">
        <f>Input!B152/Input!B$7</f>
        <v>-1.6406831328619962</v>
      </c>
      <c r="G10" s="6">
        <f>Input!C152/Input!C$7</f>
        <v>-1.5395739601505831</v>
      </c>
      <c r="H10" s="6">
        <f>Input!D152/Input!D$7</f>
        <v>-5.2806584022038567</v>
      </c>
      <c r="I10" s="6">
        <f>Input!E152/Input!E$7</f>
        <v>0</v>
      </c>
      <c r="J10" s="6">
        <f>Input!F152/Input!F$7</f>
        <v>0</v>
      </c>
      <c r="K10" s="6">
        <f>Input!G152/Input!G$7</f>
        <v>0</v>
      </c>
      <c r="L10" s="6">
        <f>Input!H152/Input!H$7</f>
        <v>-6.1855437541122292E-2</v>
      </c>
      <c r="M10" s="6">
        <f>Input!I152/Input!I$7</f>
        <v>0</v>
      </c>
      <c r="N10" s="6">
        <f>Input!J152/Input!J$7</f>
        <v>0</v>
      </c>
      <c r="O10" s="6">
        <f>AVERAGE(E10:N10)</f>
        <v>-1.1080622229473858</v>
      </c>
    </row>
    <row r="11" spans="1:15" ht="12.75" customHeight="1" x14ac:dyDescent="0.2">
      <c r="B11" s="28" t="s">
        <v>68</v>
      </c>
      <c r="E11" s="8">
        <f>Input!A35/Input!A$7</f>
        <v>483.97621536337635</v>
      </c>
      <c r="F11" s="8">
        <f>Input!B35/Input!B$7</f>
        <v>494.06085024332015</v>
      </c>
      <c r="G11" s="8">
        <f>Input!C35/Input!C$7</f>
        <v>455.70736663299971</v>
      </c>
      <c r="H11" s="8">
        <f>Input!D35/Input!D$7</f>
        <v>422.47095775941233</v>
      </c>
      <c r="I11" s="8">
        <f>Input!E35/Input!E$7</f>
        <v>400.70653168044078</v>
      </c>
      <c r="J11" s="8">
        <f>Input!F35/Input!F$7</f>
        <v>428.88358860113249</v>
      </c>
      <c r="K11" s="8">
        <f>Input!G35/Input!G$7</f>
        <v>458.12398217766639</v>
      </c>
      <c r="L11" s="8">
        <f>Input!H35/Input!H$7</f>
        <v>465.62558981107253</v>
      </c>
      <c r="M11" s="8">
        <f>Input!I35/Input!I$7</f>
        <v>524.44791324736229</v>
      </c>
      <c r="N11" s="8">
        <f>Input!J35/Input!J$7</f>
        <v>581.62563612627582</v>
      </c>
      <c r="O11" s="8">
        <f>AVERAGE(E11:N11)</f>
        <v>471.5628631643059</v>
      </c>
    </row>
    <row r="12" spans="1:15" ht="3" customHeight="1" x14ac:dyDescent="0.2">
      <c r="B12" s="19"/>
      <c r="E12" s="6"/>
      <c r="F12" s="6"/>
      <c r="G12" s="6"/>
      <c r="H12" s="6"/>
      <c r="I12" s="6"/>
      <c r="J12" s="6"/>
      <c r="K12" s="6"/>
      <c r="L12" s="6"/>
      <c r="M12" s="6"/>
      <c r="N12" s="6"/>
      <c r="O12" s="6"/>
    </row>
    <row r="13" spans="1:15" ht="12.75" customHeight="1" x14ac:dyDescent="0.2">
      <c r="B13" s="28" t="s">
        <v>69</v>
      </c>
      <c r="E13" s="8">
        <f>Input!A28/Input!A7</f>
        <v>0.10488117542648653</v>
      </c>
      <c r="F13" s="8">
        <f>Input!B28/Input!B7</f>
        <v>0.39868148012120097</v>
      </c>
      <c r="G13" s="8">
        <f>Input!C28/Input!C7</f>
        <v>0.18210448994582681</v>
      </c>
      <c r="H13" s="8">
        <f>Input!D28/Input!D7</f>
        <v>0.96712488521579432</v>
      </c>
      <c r="I13" s="8">
        <f>Input!E28/Input!E7</f>
        <v>0.42739944903581267</v>
      </c>
      <c r="J13" s="8">
        <f>Input!F28/Input!F7</f>
        <v>1.0983115195395898</v>
      </c>
      <c r="K13" s="8">
        <f>Input!G28/Input!G7</f>
        <v>0.81369256474519636</v>
      </c>
      <c r="L13" s="8">
        <f>Input!H28/Input!H7</f>
        <v>0.6839665382084783</v>
      </c>
      <c r="M13" s="8">
        <f>Input!I28/Input!I7</f>
        <v>1.1667626863171998</v>
      </c>
      <c r="N13" s="8">
        <f>Input!J28/Input!J7</f>
        <v>0.41773320674103964</v>
      </c>
      <c r="O13" s="8">
        <f>AVERAGE(E13:N13)</f>
        <v>0.62606579952966257</v>
      </c>
    </row>
    <row r="14" spans="1:15" ht="3" customHeight="1" x14ac:dyDescent="0.2">
      <c r="B14" s="19"/>
      <c r="O14" s="6"/>
    </row>
    <row r="15" spans="1:15" ht="12" customHeight="1" x14ac:dyDescent="0.2">
      <c r="B15" t="s">
        <v>183</v>
      </c>
      <c r="E15" s="16">
        <f>Input!A136/Input!A$7</f>
        <v>6.9731002859678535</v>
      </c>
      <c r="F15" s="16">
        <f>Input!B136/Input!B$7</f>
        <v>6.2725571572858323</v>
      </c>
      <c r="G15" s="16">
        <f>Input!C136/Input!C$7</f>
        <v>7.1381002662749058</v>
      </c>
      <c r="H15" s="16">
        <f>Input!D136/Input!D$7</f>
        <v>6.1007318640955006</v>
      </c>
      <c r="I15" s="16">
        <f>Input!E136/Input!E$7</f>
        <v>6.0023526170798904</v>
      </c>
      <c r="J15" s="16">
        <f>Input!F136/Input!F$7</f>
        <v>5.778721804511278</v>
      </c>
      <c r="K15" s="16">
        <f>Input!G136/Input!G$7</f>
        <v>5.8092852501624428</v>
      </c>
      <c r="L15" s="16">
        <f>Input!H136/Input!H$7</f>
        <v>8.5956302284049251</v>
      </c>
      <c r="M15" s="16">
        <f>Input!I136/Input!I$7</f>
        <v>8.7882532239155928</v>
      </c>
      <c r="N15" s="16">
        <f>Input!J136/Input!J$7</f>
        <v>6.303229290291954</v>
      </c>
      <c r="O15" s="6">
        <f t="shared" ref="O15:O26" si="1">AVERAGE(E15:N15)</f>
        <v>6.7761961987990178</v>
      </c>
    </row>
    <row r="16" spans="1:15" ht="12" customHeight="1" x14ac:dyDescent="0.2">
      <c r="B16" t="s">
        <v>184</v>
      </c>
      <c r="E16" s="16">
        <f>Input!A137/Input!A$7</f>
        <v>2.7515984616901688</v>
      </c>
      <c r="F16" s="16">
        <f>Input!B137/Input!B$7</f>
        <v>11.529734643283446</v>
      </c>
      <c r="G16" s="16">
        <f>Input!C137/Input!C$7</f>
        <v>8.8154641447066382</v>
      </c>
      <c r="H16" s="16">
        <f>Input!D137/Input!D$7</f>
        <v>9.419993572084481</v>
      </c>
      <c r="I16" s="16">
        <f>Input!E137/Input!E$7</f>
        <v>9.2489017447199267</v>
      </c>
      <c r="J16" s="16">
        <f>Input!F137/Input!F$7</f>
        <v>8.4734391534391538</v>
      </c>
      <c r="K16" s="16">
        <f>Input!G137/Input!G$7</f>
        <v>8.8675670658126808</v>
      </c>
      <c r="L16" s="16">
        <f>Input!H137/Input!H$7</f>
        <v>8.9620368455681927</v>
      </c>
      <c r="M16" s="16">
        <f>Input!I137/Input!I$7</f>
        <v>16.653354546977056</v>
      </c>
      <c r="N16" s="16">
        <f>Input!J137/Input!J$7</f>
        <v>12.020903156895324</v>
      </c>
      <c r="O16" s="6">
        <f t="shared" si="1"/>
        <v>9.6742993335177072</v>
      </c>
    </row>
    <row r="17" spans="2:15" ht="12" customHeight="1" x14ac:dyDescent="0.2">
      <c r="B17" t="s">
        <v>185</v>
      </c>
      <c r="E17" s="16">
        <f>Input!A138/Input!A$7</f>
        <v>8.2626042796568395</v>
      </c>
      <c r="F17" s="16">
        <f>Input!B138/Input!B$7</f>
        <v>5.6775245615645948</v>
      </c>
      <c r="G17" s="16">
        <f>Input!C138/Input!C$7</f>
        <v>5.1337140758424384</v>
      </c>
      <c r="H17" s="16">
        <f>Input!D138/Input!D$7</f>
        <v>4.9734214876033054</v>
      </c>
      <c r="I17" s="16">
        <f>Input!E138/Input!E$7</f>
        <v>4.9050110192837462</v>
      </c>
      <c r="J17" s="16">
        <f>Input!F138/Input!F$7</f>
        <v>4.8960438132367958</v>
      </c>
      <c r="K17" s="16">
        <f>Input!G138/Input!G$7</f>
        <v>6.0734892787524366</v>
      </c>
      <c r="L17" s="16">
        <f>Input!H138/Input!H$7</f>
        <v>0</v>
      </c>
      <c r="M17" s="16">
        <f>Input!I138/Input!I$7</f>
        <v>0</v>
      </c>
      <c r="N17" s="16">
        <f>Input!J138/Input!J$7</f>
        <v>0</v>
      </c>
      <c r="O17" s="6">
        <f t="shared" si="1"/>
        <v>3.9921808515940156</v>
      </c>
    </row>
    <row r="18" spans="2:15" ht="12" customHeight="1" x14ac:dyDescent="0.2">
      <c r="B18" t="s">
        <v>186</v>
      </c>
      <c r="E18" s="16">
        <f>Input!A139/Input!A$7</f>
        <v>6.1579035598067255</v>
      </c>
      <c r="F18" s="16">
        <f>Input!B139/Input!B$7</f>
        <v>6.0891121109172719</v>
      </c>
      <c r="G18" s="16">
        <f>Input!C139/Input!C$7</f>
        <v>6.3788954182352402</v>
      </c>
      <c r="H18" s="16">
        <f>Input!D139/Input!D$7</f>
        <v>6.0817107438016533</v>
      </c>
      <c r="I18" s="16">
        <f>Input!E139/Input!E$7</f>
        <v>10.124862258953168</v>
      </c>
      <c r="J18" s="16">
        <f>Input!F139/Input!F$7</f>
        <v>5.4797215260373155</v>
      </c>
      <c r="K18" s="16">
        <f>Input!G139/Input!G$7</f>
        <v>20.917190197716515</v>
      </c>
      <c r="L18" s="16">
        <f>Input!H139/Input!H$7</f>
        <v>6.373806748754582</v>
      </c>
      <c r="M18" s="16">
        <f>Input!I139/Input!I$7</f>
        <v>13.16827332105175</v>
      </c>
      <c r="N18" s="16">
        <f>Input!J139/Input!J$7</f>
        <v>9.9762046047946829</v>
      </c>
      <c r="O18" s="6">
        <f t="shared" si="1"/>
        <v>9.0747680490068898</v>
      </c>
    </row>
    <row r="19" spans="2:15" ht="13.5" customHeight="1" x14ac:dyDescent="0.2">
      <c r="B19" t="s">
        <v>311</v>
      </c>
      <c r="E19" s="16">
        <f>E20-SUM(E15:E18)</f>
        <v>0</v>
      </c>
      <c r="F19" s="16">
        <f t="shared" ref="F19:N19" si="2">F20-SUM(F15:F18)</f>
        <v>0</v>
      </c>
      <c r="G19" s="16">
        <f t="shared" si="2"/>
        <v>0</v>
      </c>
      <c r="H19" s="16">
        <f t="shared" si="2"/>
        <v>0.13085399449035862</v>
      </c>
      <c r="I19" s="16">
        <f t="shared" si="2"/>
        <v>0</v>
      </c>
      <c r="J19" s="16">
        <f t="shared" si="2"/>
        <v>0</v>
      </c>
      <c r="K19" s="16">
        <f t="shared" si="2"/>
        <v>0</v>
      </c>
      <c r="L19" s="16">
        <f t="shared" si="2"/>
        <v>0.23521947551461864</v>
      </c>
      <c r="M19" s="16">
        <f t="shared" si="2"/>
        <v>0</v>
      </c>
      <c r="N19" s="16">
        <f t="shared" si="2"/>
        <v>0</v>
      </c>
      <c r="O19" s="6">
        <f t="shared" si="1"/>
        <v>3.6607347000497725E-2</v>
      </c>
    </row>
    <row r="20" spans="2:15" ht="12.75" customHeight="1" x14ac:dyDescent="0.2">
      <c r="B20" s="28" t="s">
        <v>187</v>
      </c>
      <c r="E20" s="8">
        <f>Input!A141/Input!A$7</f>
        <v>24.145206587121585</v>
      </c>
      <c r="F20" s="8">
        <f>Input!B141/Input!B$7</f>
        <v>29.568928473051145</v>
      </c>
      <c r="G20" s="8">
        <f>Input!C141/Input!C$7</f>
        <v>27.466173905059222</v>
      </c>
      <c r="H20" s="8">
        <f>Input!D141/Input!D$7</f>
        <v>26.7067116620753</v>
      </c>
      <c r="I20" s="8">
        <f>Input!E141/Input!E$7</f>
        <v>30.281127640036729</v>
      </c>
      <c r="J20" s="8">
        <f>Input!F141/Input!F$7</f>
        <v>24.627926297224544</v>
      </c>
      <c r="K20" s="8">
        <f>Input!G141/Input!G$7</f>
        <v>41.667531792444073</v>
      </c>
      <c r="L20" s="8">
        <f>Input!H141/Input!H$7</f>
        <v>24.166693298242318</v>
      </c>
      <c r="M20" s="8">
        <f>Input!I141/Input!I$7</f>
        <v>38.609881091944402</v>
      </c>
      <c r="N20" s="8">
        <f>Input!J141/Input!J$7</f>
        <v>28.300337051981963</v>
      </c>
      <c r="O20" s="8">
        <f t="shared" si="1"/>
        <v>29.554051779918119</v>
      </c>
    </row>
    <row r="21" spans="2:15" ht="3" customHeight="1" x14ac:dyDescent="0.2">
      <c r="B21" s="19"/>
      <c r="E21" s="6"/>
      <c r="F21" s="6"/>
      <c r="G21" s="6"/>
      <c r="H21" s="6"/>
      <c r="I21" s="6"/>
      <c r="J21" s="6"/>
      <c r="K21" s="6"/>
      <c r="L21" s="6"/>
      <c r="M21" s="6"/>
      <c r="N21" s="6"/>
      <c r="O21" s="6"/>
    </row>
    <row r="22" spans="2:15" ht="12" customHeight="1" x14ac:dyDescent="0.2">
      <c r="B22" t="s">
        <v>304</v>
      </c>
      <c r="E22" s="16">
        <f>Input!A202/Input!A$7</f>
        <v>1.9764816093087467</v>
      </c>
      <c r="F22" s="16">
        <f>Input!B202/Input!B$7</f>
        <v>3.6537765127169219</v>
      </c>
      <c r="G22" s="16">
        <f>Input!C202/Input!C$7</f>
        <v>0.75805068405105136</v>
      </c>
      <c r="H22" s="16">
        <f>Input!D202/Input!D$7</f>
        <v>0.59021579430670335</v>
      </c>
      <c r="I22" s="16">
        <f>Input!E202/Input!E$7</f>
        <v>1.4476382001836547</v>
      </c>
      <c r="J22" s="16">
        <f>Input!F202/Input!F$7</f>
        <v>0.28903833658219624</v>
      </c>
      <c r="K22" s="16">
        <f>Input!G202/Input!G$7</f>
        <v>1.0594012809802285</v>
      </c>
      <c r="L22" s="16">
        <f>Input!H202/Input!H$7</f>
        <v>0.39888335369865591</v>
      </c>
      <c r="M22" s="16">
        <f>Input!I202/Input!I$7</f>
        <v>0.45332440127281864</v>
      </c>
      <c r="N22" s="16">
        <f>Input!J202/Input!J$7</f>
        <v>18.923187752195584</v>
      </c>
      <c r="O22" s="6">
        <f t="shared" si="1"/>
        <v>2.9549997925296561</v>
      </c>
    </row>
    <row r="23" spans="2:15" ht="12" customHeight="1" x14ac:dyDescent="0.2">
      <c r="B23" t="s">
        <v>305</v>
      </c>
      <c r="E23" s="16">
        <f>Input!A210/Input!A$7</f>
        <v>28.963415836702495</v>
      </c>
      <c r="F23" s="16">
        <f>Input!B210/Input!B$7</f>
        <v>31.557968965200626</v>
      </c>
      <c r="G23" s="16">
        <f>Input!C210/Input!C$7</f>
        <v>27.742115508217793</v>
      </c>
      <c r="H23" s="16">
        <f>Input!D210/Input!D$7</f>
        <v>20.62790266299357</v>
      </c>
      <c r="I23" s="16">
        <f>Input!E210/Input!E$7</f>
        <v>25.194182736455467</v>
      </c>
      <c r="J23" s="16">
        <f>Input!F210/Input!F$7</f>
        <v>21.600868838763574</v>
      </c>
      <c r="K23" s="16">
        <f>Input!G210/Input!G$7</f>
        <v>17.197736934929917</v>
      </c>
      <c r="L23" s="16">
        <f>Input!H210/Input!H$7</f>
        <v>21.002895948867373</v>
      </c>
      <c r="M23" s="16">
        <f>Input!I210/Input!I$7</f>
        <v>12.189246357394072</v>
      </c>
      <c r="N23" s="16">
        <f>Input!J210/Input!J$7</f>
        <v>21.980448611440778</v>
      </c>
      <c r="O23" s="6">
        <f t="shared" si="1"/>
        <v>22.805678240096565</v>
      </c>
    </row>
    <row r="24" spans="2:15" ht="12" customHeight="1" x14ac:dyDescent="0.2">
      <c r="B24" t="s">
        <v>306</v>
      </c>
      <c r="E24" s="16">
        <f>Input!A204/Input!A$7</f>
        <v>0</v>
      </c>
      <c r="F24" s="16">
        <f>Input!B204/Input!B$7</f>
        <v>0</v>
      </c>
      <c r="G24" s="16">
        <f>Input!C204/Input!C$7</f>
        <v>0.14861261592140299</v>
      </c>
      <c r="H24" s="16">
        <f>Input!D204/Input!D$7</f>
        <v>1.1723893480257117</v>
      </c>
      <c r="I24" s="16">
        <f>Input!E204/Input!E$7</f>
        <v>3.3823691460055094E-2</v>
      </c>
      <c r="J24" s="16">
        <f>Input!F204/Input!F$7</f>
        <v>3.0781583588601134E-2</v>
      </c>
      <c r="K24" s="16">
        <f>Input!G204/Input!G$7</f>
        <v>0.10113988675392184</v>
      </c>
      <c r="L24" s="16">
        <f>Input!H204/Input!H$7</f>
        <v>0</v>
      </c>
      <c r="M24" s="16">
        <f>Input!I204/Input!I$7</f>
        <v>0</v>
      </c>
      <c r="N24" s="16">
        <f>Input!J204/Input!J$7</f>
        <v>5.1050261096605745</v>
      </c>
      <c r="O24" s="6">
        <f t="shared" si="1"/>
        <v>0.65917732354102676</v>
      </c>
    </row>
    <row r="25" spans="2:15" ht="12" customHeight="1" x14ac:dyDescent="0.2">
      <c r="B25" t="s">
        <v>307</v>
      </c>
      <c r="E25" s="16">
        <f>Input!A205/Input!A$7</f>
        <v>6.6248910363869449</v>
      </c>
      <c r="F25" s="16">
        <f>Input!B205/Input!B$7</f>
        <v>1.9276705536681662</v>
      </c>
      <c r="G25" s="16">
        <f>Input!C205/Input!C$7</f>
        <v>1.4906050867688918</v>
      </c>
      <c r="H25" s="16">
        <f>Input!D205/Input!D$7</f>
        <v>1.6877346189164371</v>
      </c>
      <c r="I25" s="16">
        <f>Input!E205/Input!E$7</f>
        <v>3.867388429752066</v>
      </c>
      <c r="J25" s="16">
        <f>Input!F205/Input!F$7</f>
        <v>1.6842086698227048</v>
      </c>
      <c r="K25" s="16">
        <f>Input!G205/Input!G$7</f>
        <v>1.8081871345029239</v>
      </c>
      <c r="L25" s="16">
        <f>Input!H205/Input!H$7</f>
        <v>2.6184660212425981</v>
      </c>
      <c r="M25" s="16">
        <f>Input!I205/Input!I$7</f>
        <v>2.6446390889298272</v>
      </c>
      <c r="N25" s="16">
        <f>Input!J205/Input!J$7</f>
        <v>4.4424436268692142</v>
      </c>
      <c r="O25" s="6">
        <f t="shared" si="1"/>
        <v>2.8796234266859773</v>
      </c>
    </row>
    <row r="26" spans="2:15" ht="12" customHeight="1" x14ac:dyDescent="0.2">
      <c r="B26" t="s">
        <v>308</v>
      </c>
      <c r="E26" s="16">
        <f>(Input!A142-SUM(Input!A202:'Input'!A205))/Input!A$7</f>
        <v>9.3129878710186329</v>
      </c>
      <c r="F26" s="16">
        <f>(Input!B142-SUM(Input!B202:'Input'!B205))/Input!B$7</f>
        <v>15.152022771095394</v>
      </c>
      <c r="G26" s="16">
        <f>(Input!C142-SUM(Input!C202:'Input'!C205))/Input!C$7</f>
        <v>2.8309429804425661</v>
      </c>
      <c r="H26" s="16">
        <f>(Input!D142-SUM(Input!D202:'Input'!D205))/Input!D$7</f>
        <v>3.4979146005509625</v>
      </c>
      <c r="I26" s="16">
        <f>(Input!E142-SUM(Input!E202:'Input'!E205))/Input!E$7</f>
        <v>2.5955243342516026</v>
      </c>
      <c r="J26" s="16">
        <f>(Input!F142-SUM(Input!F202:'Input'!F205))/Input!F$7</f>
        <v>4.0063659147869659</v>
      </c>
      <c r="K26" s="16">
        <f>(Input!G142-SUM(Input!G202:'Input'!G205))/Input!G$7</f>
        <v>4.5758693028868462</v>
      </c>
      <c r="L26" s="16">
        <f>(Input!H142-SUM(Input!H202:'Input'!H205))/Input!H$7</f>
        <v>3.7914381050850632</v>
      </c>
      <c r="M26" s="16">
        <f>(Input!I142-SUM(Input!I202:'Input'!I205))/Input!I$7</f>
        <v>5.3255049405459713</v>
      </c>
      <c r="N26" s="16">
        <f>(Input!J142-SUM(Input!J202:'Input'!J205))/Input!J$7</f>
        <v>3.0136090671730407</v>
      </c>
      <c r="O26" s="6">
        <f t="shared" si="1"/>
        <v>5.410217988783705</v>
      </c>
    </row>
    <row r="27" spans="2:15" ht="12.75" customHeight="1" x14ac:dyDescent="0.2">
      <c r="B27" s="28" t="s">
        <v>188</v>
      </c>
      <c r="E27" s="8">
        <f>SUM(E22:E26)</f>
        <v>46.87777635341682</v>
      </c>
      <c r="F27" s="8">
        <f t="shared" ref="F27:N27" si="3">SUM(F22:F26)</f>
        <v>52.291438802681107</v>
      </c>
      <c r="G27" s="8">
        <f t="shared" si="3"/>
        <v>32.97032687540171</v>
      </c>
      <c r="H27" s="8">
        <f t="shared" si="3"/>
        <v>27.576157024793385</v>
      </c>
      <c r="I27" s="8">
        <f t="shared" si="3"/>
        <v>33.13855739210284</v>
      </c>
      <c r="J27" s="8">
        <f t="shared" si="3"/>
        <v>27.611263343544042</v>
      </c>
      <c r="K27" s="8">
        <f t="shared" si="3"/>
        <v>24.742334540053839</v>
      </c>
      <c r="L27" s="8">
        <f t="shared" si="3"/>
        <v>27.811683428893691</v>
      </c>
      <c r="M27" s="8">
        <f t="shared" si="3"/>
        <v>20.612714788142689</v>
      </c>
      <c r="N27" s="8">
        <f t="shared" si="3"/>
        <v>53.464715167339193</v>
      </c>
      <c r="O27" s="8">
        <f>AVERAGE(E27:N27)</f>
        <v>34.709696771636928</v>
      </c>
    </row>
    <row r="28" spans="2:15" ht="3" customHeight="1" x14ac:dyDescent="0.2">
      <c r="B28" s="19"/>
      <c r="E28" s="6"/>
      <c r="F28" s="6"/>
      <c r="G28" s="6"/>
      <c r="H28" s="6"/>
      <c r="I28" s="6"/>
      <c r="J28" s="6"/>
      <c r="K28" s="6"/>
      <c r="L28" s="6"/>
      <c r="M28" s="6"/>
      <c r="N28" s="6"/>
      <c r="O28" s="6"/>
    </row>
    <row r="29" spans="2:15" ht="12" customHeight="1" x14ac:dyDescent="0.2">
      <c r="B29" t="s">
        <v>189</v>
      </c>
      <c r="E29" s="16">
        <f>Input!A143/Input!A$7</f>
        <v>16.35870920027611</v>
      </c>
      <c r="F29" s="16">
        <f>Input!B143/Input!B$7</f>
        <v>16.073633275181344</v>
      </c>
      <c r="G29" s="16">
        <f>Input!C143/Input!C$7</f>
        <v>19.540207510788726</v>
      </c>
      <c r="H29" s="16">
        <f>Input!D143/Input!D$7</f>
        <v>10.322430670339761</v>
      </c>
      <c r="I29" s="16">
        <f>Input!E143/Input!E$7</f>
        <v>4.8208631772268129</v>
      </c>
      <c r="J29" s="16">
        <f>Input!F143/Input!F$7</f>
        <v>7.8856743711129669</v>
      </c>
      <c r="K29" s="16">
        <f>Input!G143/Input!G$7</f>
        <v>8.5267771280051985</v>
      </c>
      <c r="L29" s="16">
        <f>Input!H143/Input!H$7</f>
        <v>8.3663342419400308</v>
      </c>
      <c r="M29" s="16">
        <f>Input!I143/Input!I$7</f>
        <v>0.44883604086417683</v>
      </c>
      <c r="N29" s="16">
        <f>Input!J143/Input!J$7</f>
        <v>0.40469973890339428</v>
      </c>
      <c r="O29" s="16">
        <f t="shared" ref="O29:O35" si="4">AVERAGE(E29:N29)</f>
        <v>9.2748165354638523</v>
      </c>
    </row>
    <row r="30" spans="2:15" ht="12" customHeight="1" x14ac:dyDescent="0.2">
      <c r="B30" t="s">
        <v>309</v>
      </c>
      <c r="E30" s="16">
        <f>Input!A211/Input!A$7</f>
        <v>1.7586332708805836</v>
      </c>
      <c r="F30" s="16">
        <f>Input!B211/Input!B$7</f>
        <v>1.405519236066477</v>
      </c>
      <c r="G30" s="16">
        <f>Input!C211/Input!C$7</f>
        <v>1.2964199797998346</v>
      </c>
      <c r="H30" s="16">
        <f>Input!D211/Input!D$7</f>
        <v>9.5908778696051424</v>
      </c>
      <c r="I30" s="16">
        <f>Input!E211/Input!E$7</f>
        <v>10.059879706152433</v>
      </c>
      <c r="J30" s="16">
        <f>Input!F211/Input!F$7</f>
        <v>6.2957226399331665</v>
      </c>
      <c r="K30" s="16">
        <f>Input!G211/Input!G$7</f>
        <v>1.8223698134224449</v>
      </c>
      <c r="L30" s="16">
        <f>Input!H211/Input!H$7</f>
        <v>1.6638810038537455</v>
      </c>
      <c r="M30" s="16">
        <f>Input!I211/Input!I$7</f>
        <v>0</v>
      </c>
      <c r="N30" s="16">
        <f>Input!J211/Input!J$7</f>
        <v>0</v>
      </c>
      <c r="O30" s="6">
        <f t="shared" si="4"/>
        <v>3.3893303519713833</v>
      </c>
    </row>
    <row r="31" spans="2:15" ht="12" customHeight="1" x14ac:dyDescent="0.2">
      <c r="B31" t="s">
        <v>190</v>
      </c>
      <c r="E31" s="16">
        <f>Input!A144/Input!A$7</f>
        <v>0</v>
      </c>
      <c r="F31" s="16">
        <f>Input!B144/Input!B$7</f>
        <v>0.10721237719217704</v>
      </c>
      <c r="G31" s="16">
        <f>Input!C144/Input!C$7</f>
        <v>0.10721237719217704</v>
      </c>
      <c r="H31" s="16">
        <f>Input!D144/Input!D$7</f>
        <v>0.10722222222222223</v>
      </c>
      <c r="I31" s="16">
        <f>Input!E144/Input!E$7</f>
        <v>0.10724058769513314</v>
      </c>
      <c r="J31" s="16">
        <f>Input!F144/Input!F$7</f>
        <v>0.10838670750951454</v>
      </c>
      <c r="K31" s="16">
        <f>Input!G144/Input!G$7</f>
        <v>0.5051573377889168</v>
      </c>
      <c r="L31" s="16">
        <f>Input!H144/Input!H$7</f>
        <v>1.2028367327756369</v>
      </c>
      <c r="M31" s="16">
        <f>Input!I144/Input!I$7</f>
        <v>0.19555350862502094</v>
      </c>
      <c r="N31" s="16">
        <f>Input!J144/Input!J$7</f>
        <v>0.63956206978400187</v>
      </c>
      <c r="O31" s="6">
        <f t="shared" si="4"/>
        <v>0.30803839207848005</v>
      </c>
    </row>
    <row r="32" spans="2:15" ht="12" customHeight="1" x14ac:dyDescent="0.2">
      <c r="B32" t="s">
        <v>310</v>
      </c>
      <c r="E32" s="16">
        <f>Input!A208/Input!A$7</f>
        <v>1.0945666107878907E-2</v>
      </c>
      <c r="F32" s="16">
        <f>Input!B208/Input!B$7</f>
        <v>2.7545679919199338E-2</v>
      </c>
      <c r="G32" s="16">
        <f>Input!C208/Input!C$7</f>
        <v>1.8363786612799558E-2</v>
      </c>
      <c r="H32" s="16">
        <f>Input!D208/Input!D$7</f>
        <v>1.8365472910927456E-2</v>
      </c>
      <c r="I32" s="16">
        <f>Input!E208/Input!E$7</f>
        <v>1.8365472910927456E-2</v>
      </c>
      <c r="J32" s="16">
        <f>Input!F208/Input!F$7</f>
        <v>3.2662211083263712E-2</v>
      </c>
      <c r="K32" s="16">
        <f>Input!G208/Input!G$7</f>
        <v>0.28622203657291373</v>
      </c>
      <c r="L32" s="16">
        <f>Input!H208/Input!H$7</f>
        <v>1.8798759281887397E-2</v>
      </c>
      <c r="M32" s="16">
        <f>Input!I208/Input!I$7</f>
        <v>3.349522693016245E-2</v>
      </c>
      <c r="N32" s="16">
        <f>Input!J208/Input!J$7</f>
        <v>1.350328744362687</v>
      </c>
      <c r="O32" s="6">
        <f t="shared" si="4"/>
        <v>0.18150930566926471</v>
      </c>
    </row>
    <row r="33" spans="2:15" ht="12" customHeight="1" x14ac:dyDescent="0.2">
      <c r="B33" t="s">
        <v>191</v>
      </c>
      <c r="E33" s="16">
        <f>Input!A145/Input!A$7</f>
        <v>0.31307168918252637</v>
      </c>
      <c r="F33" s="16">
        <f>Input!B145/Input!B$7</f>
        <v>0.54928105775410896</v>
      </c>
      <c r="G33" s="16">
        <f>Input!C145/Input!C$7</f>
        <v>0.7092691212928105</v>
      </c>
      <c r="H33" s="16">
        <f>Input!D145/Input!D$7</f>
        <v>1.4238815426997244</v>
      </c>
      <c r="I33" s="16">
        <f>Input!E145/Input!E$7</f>
        <v>1.2139605142332415</v>
      </c>
      <c r="J33" s="16">
        <f>Input!F145/Input!F$7</f>
        <v>1.1130585723568178</v>
      </c>
      <c r="K33" s="16">
        <f>Input!G145/Input!G$7</f>
        <v>0.74735635384758192</v>
      </c>
      <c r="L33" s="16">
        <f>Input!H145/Input!H$7</f>
        <v>0</v>
      </c>
      <c r="M33" s="16">
        <f>Input!I145/Input!I$7</f>
        <v>0</v>
      </c>
      <c r="N33" s="16">
        <f>Input!J145/Input!J$7</f>
        <v>6.5274151436031339E-2</v>
      </c>
      <c r="O33" s="6">
        <f t="shared" si="4"/>
        <v>0.61351530028028434</v>
      </c>
    </row>
    <row r="34" spans="2:15" ht="12" customHeight="1" x14ac:dyDescent="0.2">
      <c r="B34" t="s">
        <v>192</v>
      </c>
      <c r="E34" s="16">
        <f>(Input!A147-Input!A143-Input!A144-Input!A145-Input!A207-Input!A208)/Input!A$7</f>
        <v>0.21345035006409394</v>
      </c>
      <c r="F34" s="16">
        <f>(Input!B147-Input!B143-Input!B144-Input!B145-Input!B207-Input!B208)/Input!B$7</f>
        <v>0.19310531631622363</v>
      </c>
      <c r="G34" s="16">
        <f>(Input!C147-Input!C143-Input!C144-Input!C145-Input!C207-Input!C208)/Input!C$7</f>
        <v>0.19680194656138136</v>
      </c>
      <c r="H34" s="16">
        <f>(Input!D147-Input!D143-Input!D144-Input!D145-Input!D207-Input!D208)/Input!D$7</f>
        <v>0.18365472910927455</v>
      </c>
      <c r="I34" s="16">
        <f>(Input!E147-Input!E143-Input!E144-Input!E145-Input!E207-Input!E208)/Input!E$7</f>
        <v>5.3221010101010098</v>
      </c>
      <c r="J34" s="16">
        <f>(Input!F147-Input!F143-Input!F144-Input!F145-Input!F207-Input!F208)/Input!F$7</f>
        <v>0.18564930845632693</v>
      </c>
      <c r="K34" s="16">
        <f>(Input!G147-Input!G143-Input!G144-Input!G145-Input!G207-Input!G208)/Input!G$7</f>
        <v>1.2663529682162743E-16</v>
      </c>
      <c r="L34" s="16">
        <f>(Input!H147-Input!H143-Input!H144-Input!H145-Input!H207-Input!H208)/Input!H$7</f>
        <v>1.0258423180068746E-15</v>
      </c>
      <c r="M34" s="16">
        <f>(Input!I147-Input!I143-Input!I144-Input!I145-Input!I207-Input!I208)/Input!I$7</f>
        <v>0</v>
      </c>
      <c r="N34" s="16">
        <f>(Input!J147-Input!J143-Input!J144-Input!J145-Input!J207-Input!J208)/Input!J$7</f>
        <v>-2.15878163250161E-16</v>
      </c>
      <c r="O34" s="6">
        <f t="shared" si="4"/>
        <v>0.62947626606083107</v>
      </c>
    </row>
    <row r="35" spans="2:15" ht="12.75" customHeight="1" x14ac:dyDescent="0.2">
      <c r="B35" s="28" t="s">
        <v>193</v>
      </c>
      <c r="E35" s="8">
        <f>SUM(E29:E34)</f>
        <v>18.654810176511191</v>
      </c>
      <c r="F35" s="8">
        <f t="shared" ref="F35:N35" si="5">SUM(F29:F34)</f>
        <v>18.35629694242953</v>
      </c>
      <c r="G35" s="8">
        <f t="shared" si="5"/>
        <v>21.86827472224773</v>
      </c>
      <c r="H35" s="8">
        <f t="shared" si="5"/>
        <v>21.646432506887052</v>
      </c>
      <c r="I35" s="8">
        <f t="shared" si="5"/>
        <v>21.542410468319559</v>
      </c>
      <c r="J35" s="8">
        <f t="shared" si="5"/>
        <v>15.621153810452057</v>
      </c>
      <c r="K35" s="8">
        <f t="shared" si="5"/>
        <v>11.887882669637056</v>
      </c>
      <c r="L35" s="8">
        <f t="shared" si="5"/>
        <v>11.251850737851303</v>
      </c>
      <c r="M35" s="8">
        <f t="shared" si="5"/>
        <v>0.67788477641936029</v>
      </c>
      <c r="N35" s="8">
        <f t="shared" si="5"/>
        <v>2.4598647044861144</v>
      </c>
      <c r="O35" s="8">
        <f t="shared" si="4"/>
        <v>14.396686151524094</v>
      </c>
    </row>
    <row r="36" spans="2:15" ht="6" customHeight="1" x14ac:dyDescent="0.2">
      <c r="B36" s="19"/>
      <c r="E36" s="8"/>
      <c r="F36" s="8"/>
      <c r="G36" s="8"/>
      <c r="H36" s="8"/>
      <c r="I36" s="8"/>
      <c r="J36" s="8"/>
      <c r="K36" s="8"/>
      <c r="L36" s="8"/>
      <c r="M36" s="8"/>
      <c r="N36" s="8"/>
      <c r="O36" s="6"/>
    </row>
    <row r="37" spans="2:15" ht="12.75" customHeight="1" x14ac:dyDescent="0.2">
      <c r="B37" s="29" t="s">
        <v>194</v>
      </c>
      <c r="E37" s="30">
        <f>+E11+E13+E20+E27+E35</f>
        <v>573.7588896558525</v>
      </c>
      <c r="F37" s="30">
        <f t="shared" ref="F37:N37" si="6">+F11+F13+F20+F27+F35</f>
        <v>594.67619594160305</v>
      </c>
      <c r="G37" s="30">
        <f t="shared" si="6"/>
        <v>538.19424662565416</v>
      </c>
      <c r="H37" s="30">
        <f t="shared" si="6"/>
        <v>499.36738383838383</v>
      </c>
      <c r="I37" s="30">
        <f t="shared" si="6"/>
        <v>486.09602662993575</v>
      </c>
      <c r="J37" s="30">
        <f t="shared" si="6"/>
        <v>497.84224357189271</v>
      </c>
      <c r="K37" s="30">
        <f t="shared" si="6"/>
        <v>537.23542374454667</v>
      </c>
      <c r="L37" s="30">
        <f t="shared" si="6"/>
        <v>529.53978381426839</v>
      </c>
      <c r="M37" s="30">
        <f t="shared" si="6"/>
        <v>585.51515659018594</v>
      </c>
      <c r="N37" s="30">
        <f t="shared" si="6"/>
        <v>666.26828625682401</v>
      </c>
      <c r="O37" s="7">
        <f>AVERAGE(E37:N37)</f>
        <v>550.84936366691477</v>
      </c>
    </row>
    <row r="38" spans="2:15" ht="6" customHeight="1" x14ac:dyDescent="0.2">
      <c r="E38" s="7"/>
      <c r="F38" s="7"/>
      <c r="G38" s="7"/>
      <c r="H38" s="7"/>
      <c r="I38" s="7"/>
      <c r="J38" s="7"/>
      <c r="K38" s="7"/>
      <c r="L38" s="7"/>
      <c r="M38" s="7"/>
      <c r="N38" s="7"/>
      <c r="O38" s="6"/>
    </row>
    <row r="39" spans="2:15" ht="12.75" customHeight="1" x14ac:dyDescent="0.2">
      <c r="B39" s="29" t="s">
        <v>195</v>
      </c>
      <c r="E39" s="30">
        <f>(Input!A24-Input!A125)/Input!A$7+Input!A131/Input!A7</f>
        <v>510.06497386845473</v>
      </c>
      <c r="F39" s="30">
        <f>(Input!B24-Input!B125)/Input!B$7+Input!B131/Input!B7</f>
        <v>508.58096501698651</v>
      </c>
      <c r="G39" s="30">
        <f>(Input!C24-Input!C125)/Input!C$7+Input!C131/Input!C7</f>
        <v>431.14026535671655</v>
      </c>
      <c r="H39" s="30">
        <f>(Input!D24-Input!D125)/Input!D$7+Input!D131/Input!D7</f>
        <v>441.95037373737375</v>
      </c>
      <c r="I39" s="30">
        <f>(Input!E24-Input!E125)/Input!E$7+Input!E131/Input!E7</f>
        <v>454.24103305785127</v>
      </c>
      <c r="J39" s="30">
        <f>(Input!F24-Input!F125)/Input!F$7+Input!F131/Input!F7</f>
        <v>447.14336860670193</v>
      </c>
      <c r="K39" s="30">
        <f>(Input!G24-Input!G125)/Input!G$7+Input!G131/Input!G7</f>
        <v>445.53425322565676</v>
      </c>
      <c r="L39" s="30">
        <f>(Input!H24-Input!H125)/Input!H$7+Input!H131/Input!H7</f>
        <v>451.48060625998676</v>
      </c>
      <c r="M39" s="30">
        <f>(Input!I24-Input!I125)/Input!I$7+Input!I131/Input!I7</f>
        <v>462.30637246692345</v>
      </c>
      <c r="N39" s="30">
        <f>(Input!J24-Input!J125)/Input!J$7+Input!J131/Input!J7</f>
        <v>529.84326964158549</v>
      </c>
      <c r="O39" s="7">
        <f>AVERAGE(E39:N39)</f>
        <v>468.22854812382377</v>
      </c>
    </row>
    <row r="40" spans="2:15" ht="6" customHeight="1" x14ac:dyDescent="0.2">
      <c r="E40" s="6"/>
      <c r="F40" s="6"/>
      <c r="G40" s="6"/>
      <c r="H40" s="6"/>
      <c r="I40" s="6"/>
      <c r="J40" s="6"/>
      <c r="K40" s="6"/>
      <c r="L40" s="6"/>
      <c r="M40" s="6"/>
      <c r="N40" s="6"/>
      <c r="O40" s="6"/>
    </row>
    <row r="41" spans="2:15" ht="12.75" customHeight="1" x14ac:dyDescent="0.2">
      <c r="B41" s="31" t="s">
        <v>73</v>
      </c>
      <c r="C41" s="10"/>
      <c r="D41" s="10"/>
      <c r="E41" s="11">
        <f>+E37-E39</f>
        <v>63.693915787397771</v>
      </c>
      <c r="F41" s="11">
        <f t="shared" ref="F41:N41" si="7">+F37-F39</f>
        <v>86.095230924616544</v>
      </c>
      <c r="G41" s="11">
        <f t="shared" si="7"/>
        <v>107.0539812689376</v>
      </c>
      <c r="H41" s="11">
        <f t="shared" si="7"/>
        <v>57.417010101010078</v>
      </c>
      <c r="I41" s="11">
        <f t="shared" si="7"/>
        <v>31.854993572084481</v>
      </c>
      <c r="J41" s="11">
        <f t="shared" si="7"/>
        <v>50.698874965190782</v>
      </c>
      <c r="K41" s="11">
        <f t="shared" si="7"/>
        <v>91.70117051888991</v>
      </c>
      <c r="L41" s="11">
        <f t="shared" si="7"/>
        <v>78.059177554281632</v>
      </c>
      <c r="M41" s="11">
        <f t="shared" si="7"/>
        <v>123.20878412326249</v>
      </c>
      <c r="N41" s="11">
        <f t="shared" si="7"/>
        <v>136.42501661523852</v>
      </c>
      <c r="O41" s="11">
        <f>AVERAGE(E41:N41)</f>
        <v>82.620815543090984</v>
      </c>
    </row>
    <row r="42" spans="2:15" ht="6" customHeight="1" x14ac:dyDescent="0.2">
      <c r="E42" s="6"/>
      <c r="F42" s="6"/>
      <c r="G42" s="6"/>
      <c r="H42" s="6"/>
      <c r="I42" s="6"/>
      <c r="J42" s="6"/>
      <c r="K42" s="6"/>
      <c r="L42" s="6"/>
      <c r="M42" s="6"/>
      <c r="N42" s="6"/>
      <c r="O42" s="6"/>
    </row>
    <row r="43" spans="2:15" s="4" customFormat="1" ht="12.75" customHeight="1" x14ac:dyDescent="0.2">
      <c r="B43" s="4" t="s">
        <v>70</v>
      </c>
      <c r="E43" s="8">
        <f>(Input!A25+Input!A26)/Input!A$7</f>
        <v>14.564027216250862</v>
      </c>
      <c r="F43" s="8">
        <f>(Input!B25+Input!B26)/Input!B$7</f>
        <v>15.853744376090351</v>
      </c>
      <c r="G43" s="8">
        <f>(Input!C25+Input!C26)/Input!C$7</f>
        <v>14.705435680837388</v>
      </c>
      <c r="H43" s="8">
        <f>(Input!D25+Input!D26)/Input!D$7</f>
        <v>14.798665748393022</v>
      </c>
      <c r="I43" s="8">
        <f>(Input!E25+Input!E26)/Input!E$7</f>
        <v>14.716725436179983</v>
      </c>
      <c r="J43" s="8">
        <f>(Input!F25+Input!F26)/Input!F$7</f>
        <v>15.743215446022464</v>
      </c>
      <c r="K43" s="8">
        <f>(Input!G25+Input!G26)/Input!G$7</f>
        <v>15.963287849252762</v>
      </c>
      <c r="L43" s="8">
        <f>(Input!H25+Input!H26)/Input!H$7</f>
        <v>16.489242410000937</v>
      </c>
      <c r="M43" s="8">
        <f>(Input!I25+Input!I26)/Input!I$7</f>
        <v>18.323830179199465</v>
      </c>
      <c r="N43" s="8">
        <f>(Input!J25+Input!J26)/Input!J$7</f>
        <v>21.971731545217185</v>
      </c>
      <c r="O43" s="8">
        <f>AVERAGE(E43:N43)</f>
        <v>16.312990588744441</v>
      </c>
    </row>
    <row r="44" spans="2:15" ht="6" customHeight="1" x14ac:dyDescent="0.2">
      <c r="E44" s="17"/>
      <c r="F44" s="17"/>
      <c r="G44" s="17"/>
      <c r="H44" s="17"/>
      <c r="I44" s="17"/>
      <c r="J44" s="17"/>
      <c r="K44" s="17"/>
      <c r="L44" s="17"/>
      <c r="M44" s="17"/>
      <c r="N44" s="17"/>
      <c r="O44" s="6"/>
    </row>
    <row r="45" spans="2:15" ht="12.75" customHeight="1" x14ac:dyDescent="0.2">
      <c r="B45" s="9" t="s">
        <v>74</v>
      </c>
      <c r="C45" s="10"/>
      <c r="D45" s="10"/>
      <c r="E45" s="11">
        <f>+E41-E43</f>
        <v>49.129888571146907</v>
      </c>
      <c r="F45" s="11">
        <f t="shared" ref="F45:N45" si="8">+F41-F43</f>
        <v>70.241486548526197</v>
      </c>
      <c r="G45" s="11">
        <f t="shared" si="8"/>
        <v>92.348545588100222</v>
      </c>
      <c r="H45" s="11">
        <f t="shared" si="8"/>
        <v>42.618344352617058</v>
      </c>
      <c r="I45" s="11">
        <f t="shared" si="8"/>
        <v>17.138268135904497</v>
      </c>
      <c r="J45" s="11">
        <f t="shared" si="8"/>
        <v>34.955659519168321</v>
      </c>
      <c r="K45" s="11">
        <f t="shared" si="8"/>
        <v>75.737882669637145</v>
      </c>
      <c r="L45" s="11">
        <f t="shared" si="8"/>
        <v>61.569935144280691</v>
      </c>
      <c r="M45" s="11">
        <f t="shared" si="8"/>
        <v>104.88495394406303</v>
      </c>
      <c r="N45" s="11">
        <f t="shared" si="8"/>
        <v>114.45328507002134</v>
      </c>
      <c r="O45" s="11">
        <f>AVERAGE(E45:N45)</f>
        <v>66.307824954346543</v>
      </c>
    </row>
  </sheetData>
  <mergeCells count="3">
    <mergeCell ref="D1:M1"/>
    <mergeCell ref="D2:M2"/>
    <mergeCell ref="D3:M3"/>
  </mergeCells>
  <phoneticPr fontId="0" type="noConversion"/>
  <pageMargins left="0.78740157480314965" right="0.78740157480314965" top="0.78740157480314965" bottom="0.78740157480314965" header="0.43307086614173229" footer="0.43307086614173229"/>
  <pageSetup paperSize="9" orientation="landscape" horizontalDpi="0" r:id="rId1"/>
  <headerFooter alignWithMargins="0">
    <oddFooter>&amp;L&amp;8BOKU / HVLFÖ&amp;C&amp;8DVR-Nr: 0890723&amp;R&amp;8&amp;D</oddFooter>
  </headerFooter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O60"/>
  <sheetViews>
    <sheetView zoomScaleNormal="100" workbookViewId="0">
      <selection activeCell="D2" sqref="D2:M2"/>
    </sheetView>
  </sheetViews>
  <sheetFormatPr baseColWidth="10" defaultRowHeight="12.75" x14ac:dyDescent="0.2"/>
  <cols>
    <col min="1" max="1" width="0.85546875" customWidth="1"/>
    <col min="2" max="2" width="10.28515625" customWidth="1"/>
    <col min="3" max="3" width="8.7109375" customWidth="1"/>
    <col min="4" max="4" width="9.7109375" customWidth="1"/>
    <col min="5" max="12" width="8.7109375" customWidth="1"/>
    <col min="13" max="13" width="8.85546875" customWidth="1"/>
    <col min="14" max="14" width="8.7109375" customWidth="1"/>
    <col min="15" max="15" width="10.5703125" customWidth="1"/>
    <col min="16" max="16" width="20.7109375" customWidth="1"/>
  </cols>
  <sheetData>
    <row r="1" spans="1:15" ht="15.75" x14ac:dyDescent="0.25">
      <c r="A1" t="s">
        <v>48</v>
      </c>
      <c r="C1" s="12">
        <f>Input!A3</f>
        <v>2024</v>
      </c>
      <c r="D1" s="36" t="s">
        <v>205</v>
      </c>
      <c r="E1" s="36"/>
      <c r="F1" s="36"/>
      <c r="G1" s="36"/>
      <c r="H1" s="36"/>
      <c r="I1" s="36"/>
      <c r="J1" s="36"/>
      <c r="K1" s="36"/>
      <c r="L1" s="36"/>
      <c r="M1" s="36"/>
      <c r="O1" s="3" t="s">
        <v>206</v>
      </c>
    </row>
    <row r="2" spans="1:15" ht="15.75" customHeight="1" x14ac:dyDescent="0.2">
      <c r="D2" s="37" t="str">
        <f>Kenndat!D2</f>
        <v>Produktionsgebiet 1: Alpenvorland</v>
      </c>
      <c r="E2" s="37"/>
      <c r="F2" s="37"/>
      <c r="G2" s="37"/>
      <c r="H2" s="37"/>
      <c r="I2" s="37"/>
      <c r="J2" s="37"/>
      <c r="K2" s="37"/>
      <c r="L2" s="37"/>
      <c r="M2" s="37"/>
      <c r="N2" s="5"/>
    </row>
    <row r="3" spans="1:15" ht="21" customHeight="1" x14ac:dyDescent="0.2"/>
    <row r="4" spans="1:15" x14ac:dyDescent="0.2">
      <c r="E4" s="3">
        <f>Input!A3</f>
        <v>2024</v>
      </c>
      <c r="F4" s="3">
        <f t="shared" ref="F4:N4" si="0">+E4-1</f>
        <v>2023</v>
      </c>
      <c r="G4" s="3">
        <f t="shared" si="0"/>
        <v>2022</v>
      </c>
      <c r="H4" s="3">
        <f t="shared" si="0"/>
        <v>2021</v>
      </c>
      <c r="I4" s="3">
        <f t="shared" si="0"/>
        <v>2020</v>
      </c>
      <c r="J4" s="3">
        <f t="shared" si="0"/>
        <v>2019</v>
      </c>
      <c r="K4" s="3">
        <f t="shared" si="0"/>
        <v>2018</v>
      </c>
      <c r="L4" s="3">
        <f t="shared" si="0"/>
        <v>2017</v>
      </c>
      <c r="M4" s="3">
        <f t="shared" si="0"/>
        <v>2016</v>
      </c>
      <c r="N4" s="3">
        <f t="shared" si="0"/>
        <v>2015</v>
      </c>
      <c r="O4" s="3" t="s">
        <v>16</v>
      </c>
    </row>
    <row r="5" spans="1:15" ht="22.5" customHeight="1" x14ac:dyDescent="0.2">
      <c r="D5" s="38" t="s">
        <v>281</v>
      </c>
      <c r="E5" s="38"/>
      <c r="F5" s="38"/>
      <c r="G5" s="38"/>
      <c r="H5" s="38"/>
      <c r="I5" s="38"/>
      <c r="J5" s="38"/>
      <c r="K5" s="38"/>
      <c r="L5" s="38"/>
      <c r="M5" s="38"/>
      <c r="N5" s="18"/>
    </row>
    <row r="6" spans="1:15" ht="4.5" customHeight="1" x14ac:dyDescent="0.2">
      <c r="D6" s="18"/>
      <c r="E6" s="18"/>
      <c r="F6" s="18"/>
      <c r="G6" s="18"/>
      <c r="H6" s="18"/>
      <c r="I6" s="18"/>
      <c r="J6" s="18"/>
      <c r="K6" s="18"/>
      <c r="L6" s="18"/>
      <c r="M6" s="18"/>
      <c r="N6" s="18"/>
    </row>
    <row r="7" spans="1:15" ht="12" customHeight="1" x14ac:dyDescent="0.2">
      <c r="B7" s="19" t="s">
        <v>207</v>
      </c>
      <c r="E7" s="6">
        <f>(Input!A$132+Input!A$28+Input!A$141)/Input!A$6</f>
        <v>76.032374063072339</v>
      </c>
      <c r="F7" s="6">
        <f>(Input!B$132+Input!B$28+Input!B$141)/Input!B$6</f>
        <v>76.873436015897383</v>
      </c>
      <c r="G7" s="6">
        <f>(Input!C$132+Input!C$28+Input!C$141)/Input!C$6</f>
        <v>74.12100504467422</v>
      </c>
      <c r="H7" s="6">
        <f>(Input!D$132+Input!D$28+Input!D$141)/Input!D$6</f>
        <v>67.509759779318799</v>
      </c>
      <c r="I7" s="6">
        <f>(Input!E$132+Input!E$28+Input!E$141)/Input!E$6</f>
        <v>61.788830022005286</v>
      </c>
      <c r="J7" s="6">
        <f>(Input!F$132+Input!F$28+Input!F$141)/Input!F$6</f>
        <v>59.614521841725171</v>
      </c>
      <c r="K7" s="6">
        <f>(Input!G$132+Input!G$28+Input!G$141)/Input!G$6</f>
        <v>65.277650691582181</v>
      </c>
      <c r="L7" s="6">
        <f>(Input!H$132+Input!H$28+Input!H$141)/Input!H$6</f>
        <v>63.250418096342884</v>
      </c>
      <c r="M7" s="6">
        <f>(Input!I$132+Input!I$28+Input!I$141)/Input!I$6</f>
        <v>65.661836408076724</v>
      </c>
      <c r="N7" s="6">
        <f>(Input!J$132+Input!J$28+Input!J$141)/Input!J$6</f>
        <v>76.602360051680876</v>
      </c>
      <c r="O7" s="6">
        <f>AVERAGE(E7:N7)</f>
        <v>68.67321920143759</v>
      </c>
    </row>
    <row r="8" spans="1:15" ht="12" customHeight="1" x14ac:dyDescent="0.2">
      <c r="B8" s="19" t="s">
        <v>208</v>
      </c>
      <c r="E8" s="6">
        <f>(Input!A$132+Input!A$133+Input!A$134+Input!A$28+Input!A$141)/Input!A$6</f>
        <v>77.096118849368196</v>
      </c>
      <c r="F8" s="6">
        <f>(Input!B$132+Input!B$133+Input!B$134+Input!B$28+Input!B$141)/Input!B$6</f>
        <v>77.937820422686784</v>
      </c>
      <c r="G8" s="6">
        <f>(Input!C$132+Input!C$133+Input!C$134+Input!C$28+Input!C$141)/Input!C$6</f>
        <v>71.834469305290625</v>
      </c>
      <c r="H8" s="6">
        <f>(Input!D$132+Input!D$133+Input!D$134+Input!D$28+Input!D$141)/Input!D$6</f>
        <v>68.070547488601974</v>
      </c>
      <c r="I8" s="6">
        <f>(Input!E$132+Input!E$133+Input!E$134+Input!E$28+Input!E$141)/Input!E$6</f>
        <v>60.689159416717501</v>
      </c>
      <c r="J8" s="6">
        <f>(Input!F$132+Input!F$133+Input!F$134+Input!F$28+Input!F$141)/Input!F$6</f>
        <v>60.703771194635884</v>
      </c>
      <c r="K8" s="6">
        <f>(Input!G$132+Input!G$133+Input!G$134+Input!G$28+Input!G$141)/Input!G$6</f>
        <v>66.03068391709148</v>
      </c>
      <c r="L8" s="6">
        <f>(Input!H$132+Input!H$133+Input!H$134+Input!H$28+Input!H$141)/Input!H$6</f>
        <v>63.285738811893282</v>
      </c>
      <c r="M8" s="6">
        <f>(Input!I$132+Input!I$133+Input!I$134+Input!I$28+Input!I$141)/Input!I$6</f>
        <v>69.432540971209633</v>
      </c>
      <c r="N8" s="6">
        <f>(Input!J$132+Input!J$133+Input!J$134+Input!J$28+Input!J$141)/Input!J$6</f>
        <v>75.743318383978931</v>
      </c>
      <c r="O8" s="6">
        <f>AVERAGE(E8:N8)</f>
        <v>69.082416876147434</v>
      </c>
    </row>
    <row r="9" spans="1:15" ht="12" customHeight="1" x14ac:dyDescent="0.2">
      <c r="B9" s="19" t="s">
        <v>209</v>
      </c>
      <c r="E9" s="6">
        <f>(Input!A$148-Input!A$154+Input!A$155)/Input!A$6</f>
        <v>29.601448447816793</v>
      </c>
      <c r="F9" s="6">
        <f>(Input!B$148-Input!B$154+Input!B$155)/Input!B$6</f>
        <v>34.238898661348401</v>
      </c>
      <c r="G9" s="6">
        <f>(Input!C$148-Input!C$154+Input!C$155)/Input!C$6</f>
        <v>36.90431394940267</v>
      </c>
      <c r="H9" s="6">
        <f>(Input!D$148-Input!D$154+Input!D$155)/Input!D$6</f>
        <v>30.846242928112591</v>
      </c>
      <c r="I9" s="6">
        <f>(Input!E$148-Input!E$154+Input!E$155)/Input!E$6</f>
        <v>26.421190313667616</v>
      </c>
      <c r="J9" s="6">
        <f>(Input!F$148-Input!F$154+Input!F$155)/Input!F$6</f>
        <v>29.187266082292481</v>
      </c>
      <c r="K9" s="6">
        <f>(Input!G$148-Input!G$154+Input!G$155)/Input!G$6</f>
        <v>32.483687992529802</v>
      </c>
      <c r="L9" s="6">
        <f>(Input!H$148-Input!H$154+Input!H$155)/Input!H$6</f>
        <v>30.043269308260573</v>
      </c>
      <c r="M9" s="6">
        <f>(Input!I$148-Input!I$154+Input!I$155)/Input!I$6</f>
        <v>34.936995342689002</v>
      </c>
      <c r="N9" s="6">
        <f>(Input!J$148-Input!J$154+Input!J$155)/Input!J$6</f>
        <v>43.36759199443437</v>
      </c>
      <c r="O9" s="6">
        <f>AVERAGE(E9:N9)</f>
        <v>32.803090502055426</v>
      </c>
    </row>
    <row r="10" spans="1:15" ht="12" customHeight="1" x14ac:dyDescent="0.2">
      <c r="B10" s="19" t="s">
        <v>210</v>
      </c>
      <c r="E10" s="6">
        <f>(Input!A$132+Input!A$135+Input!A$28+Input!A$141+Input!A$142+Input!A$147-Input!A$156+Input!A$157)/Input!A$6</f>
        <v>9.1072779462238014</v>
      </c>
      <c r="F10" s="6">
        <f>(Input!B$132+Input!B$135+Input!B$28+Input!B$141+Input!B$142+Input!B$147-Input!B$156+Input!B$157)/Input!B$6</f>
        <v>13.5023252076847</v>
      </c>
      <c r="G10" s="6">
        <f>(Input!C$132+Input!C$135+Input!C$28+Input!C$141+Input!C$142+Input!C$147-Input!C$156+Input!C$157)/Input!C$6</f>
        <v>22.492472894287708</v>
      </c>
      <c r="H10" s="6">
        <f>(Input!D$132+Input!D$135+Input!D$28+Input!D$141+Input!D$142+Input!D$147-Input!D$156+Input!D$157)/Input!D$6</f>
        <v>12.120435743202693</v>
      </c>
      <c r="I10" s="6">
        <f>(Input!E$132+Input!E$135+Input!E$28+Input!E$141+Input!E$142+Input!E$147-Input!E$156+Input!E$157)/Input!E$6</f>
        <v>7.1551242893575049</v>
      </c>
      <c r="J10" s="6">
        <f>(Input!F$132+Input!F$135+Input!F$28+Input!F$141+Input!F$142+Input!F$147-Input!F$156+Input!F$157)/Input!F$6</f>
        <v>10.317800055141481</v>
      </c>
      <c r="K10" s="6">
        <f>(Input!G$132+Input!G$135+Input!G$28+Input!G$141+Input!G$142+Input!G$147-Input!G$156+Input!G$157)/Input!G$6</f>
        <v>14.613057524742892</v>
      </c>
      <c r="L10" s="6">
        <f>(Input!H$132+Input!H$135+Input!H$28+Input!H$141+Input!H$142+Input!H$147-Input!H$156+Input!H$157)/Input!H$6</f>
        <v>12.176430673423289</v>
      </c>
      <c r="M10" s="6">
        <f>(Input!I$132+Input!I$135+Input!I$28+Input!I$141+Input!I$142+Input!I$147-Input!I$156+Input!I$157)/Input!I$6</f>
        <v>12.990118478812846</v>
      </c>
      <c r="N10" s="6">
        <f>(Input!J$132+Input!J$135+Input!J$28+Input!J$141+Input!J$142+Input!J$147-Input!J$156+Input!J$157)/Input!J$6</f>
        <v>25.289349765199901</v>
      </c>
      <c r="O10" s="6">
        <f>AVERAGE(E10:N10)</f>
        <v>13.97643925780768</v>
      </c>
    </row>
    <row r="11" spans="1:15" ht="12" customHeight="1" x14ac:dyDescent="0.2">
      <c r="B11" t="s">
        <v>211</v>
      </c>
      <c r="E11" s="6">
        <f>Input!A$148/Input!A34-Input!A$24/Input!A$6</f>
        <v>-4.1772887853920082</v>
      </c>
      <c r="F11" s="6">
        <f>Input!B$148/Input!B34-Input!B$24/Input!B$6</f>
        <v>6.2809001470819368</v>
      </c>
      <c r="G11" s="6">
        <f>Input!C$148/Input!C34-Input!C$24/Input!C$6</f>
        <v>15.958287620018467</v>
      </c>
      <c r="H11" s="6">
        <f>Input!D$148/Input!D34-Input!D$24/Input!D$6</f>
        <v>8.3232811608344761</v>
      </c>
      <c r="I11" s="6">
        <f>Input!E$148/Input!E34-Input!E$24/Input!E$6</f>
        <v>0.17459785032001207</v>
      </c>
      <c r="J11" s="6">
        <f>Input!F$148/Input!F34-Input!F$24/Input!F$6</f>
        <v>6.2049779915289989</v>
      </c>
      <c r="K11" s="6">
        <f>Input!G$148/Input!G34-Input!G$24/Input!G$6</f>
        <v>9.6962915480771841</v>
      </c>
      <c r="L11" s="6">
        <f>Input!H$148/Input!H34-Input!H$24/Input!H$6</f>
        <v>7.0732123823403015</v>
      </c>
      <c r="M11" s="6">
        <f>Input!I$148/Input!I34-Input!I$24/Input!I$6</f>
        <v>10.230857951908888</v>
      </c>
      <c r="N11" s="6">
        <f>Input!J$148/Input!J34-Input!J$24/Input!J$6</f>
        <v>14.974008684450155</v>
      </c>
      <c r="O11" s="6">
        <f>AVERAGE(E11:N11)</f>
        <v>7.4739126551168411</v>
      </c>
    </row>
    <row r="12" spans="1:15" ht="6.75" customHeight="1" x14ac:dyDescent="0.2">
      <c r="B12" s="19"/>
      <c r="E12" s="6"/>
      <c r="F12" s="6"/>
      <c r="G12" s="6"/>
      <c r="H12" s="6"/>
      <c r="I12" s="6"/>
      <c r="J12" s="6"/>
      <c r="K12" s="6"/>
      <c r="L12" s="6"/>
      <c r="M12" s="6"/>
      <c r="N12" s="6"/>
      <c r="O12" s="6"/>
    </row>
    <row r="13" spans="1:15" ht="16.5" customHeight="1" x14ac:dyDescent="0.2">
      <c r="B13" s="19"/>
      <c r="D13" s="38" t="s">
        <v>212</v>
      </c>
      <c r="E13" s="38"/>
      <c r="F13" s="38"/>
      <c r="G13" s="38"/>
      <c r="H13" s="38"/>
      <c r="I13" s="38"/>
      <c r="J13" s="38"/>
      <c r="K13" s="38"/>
      <c r="L13" s="38"/>
      <c r="M13" s="38"/>
      <c r="N13" s="18"/>
      <c r="O13" s="6"/>
    </row>
    <row r="14" spans="1:15" ht="4.5" customHeight="1" x14ac:dyDescent="0.2">
      <c r="B14" s="19"/>
      <c r="D14" s="18"/>
      <c r="E14" s="18"/>
      <c r="F14" s="18"/>
      <c r="G14" s="18"/>
      <c r="H14" s="18"/>
      <c r="I14" s="18"/>
      <c r="J14" s="18"/>
      <c r="K14" s="18"/>
      <c r="L14" s="18"/>
      <c r="M14" s="18"/>
      <c r="N14" s="18"/>
      <c r="O14" s="6"/>
    </row>
    <row r="15" spans="1:15" ht="12" customHeight="1" x14ac:dyDescent="0.2">
      <c r="B15" s="19" t="s">
        <v>207</v>
      </c>
      <c r="E15" s="6">
        <f>(Input!A$132+Input!A$28+Input!A$141)/Input!A$7</f>
        <v>487.13651908095841</v>
      </c>
      <c r="F15" s="6">
        <f>(Input!B$132+Input!B$28+Input!B$141)/Input!B$7</f>
        <v>491.95187494261319</v>
      </c>
      <c r="G15" s="6">
        <f>(Input!C$132+Input!C$28+Input!C$141)/Input!C$7</f>
        <v>542.33354604719489</v>
      </c>
      <c r="H15" s="6">
        <f>(Input!D$132+Input!D$28+Input!D$141)/Input!D$7</f>
        <v>485.41934986225891</v>
      </c>
      <c r="I15" s="6">
        <f>(Input!E$132+Input!E$28+Input!E$141)/Input!E$7</f>
        <v>430.90678971533509</v>
      </c>
      <c r="J15" s="6">
        <f>(Input!F$132+Input!F$28+Input!F$141)/Input!F$7</f>
        <v>470.6628200129955</v>
      </c>
      <c r="K15" s="6">
        <f>(Input!G$132+Input!G$28+Input!G$141)/Input!G$7</f>
        <v>511.14812122899849</v>
      </c>
      <c r="L15" s="6">
        <f>(Input!H$132+Input!H$28+Input!H$141)/Input!H$7</f>
        <v>486.87780712472977</v>
      </c>
      <c r="M15" s="6">
        <f>(Input!I$132+Input!I$28+Input!I$141)/Input!I$7</f>
        <v>528.59933679450683</v>
      </c>
      <c r="N15" s="6">
        <f>(Input!J$132+Input!J$28+Input!J$141)/Input!J$7</f>
        <v>731.78618205554233</v>
      </c>
      <c r="O15" s="6">
        <f>AVERAGE(E15:N15)</f>
        <v>516.68223468651343</v>
      </c>
    </row>
    <row r="16" spans="1:15" ht="12" customHeight="1" x14ac:dyDescent="0.2">
      <c r="B16" s="19" t="s">
        <v>208</v>
      </c>
      <c r="E16" s="6">
        <f>(Input!A$132+Input!A$133+Input!A$134+Input!A$28+Input!A$141)/Input!A$7</f>
        <v>493.95189133221572</v>
      </c>
      <c r="F16" s="6">
        <f>(Input!B$132+Input!B$133+Input!B$134+Input!B$28+Input!B$141)/Input!B$7</f>
        <v>498.76340740060607</v>
      </c>
      <c r="G16" s="6">
        <f>(Input!C$132+Input!C$133+Input!C$134+Input!C$28+Input!C$141)/Input!C$7</f>
        <v>525.60326783582775</v>
      </c>
      <c r="H16" s="6">
        <f>(Input!D$132+Input!D$133+Input!D$134+Input!D$28+Input!D$141)/Input!D$7</f>
        <v>489.45161432506887</v>
      </c>
      <c r="I16" s="6">
        <f>(Input!E$132+Input!E$133+Input!E$134+Input!E$28+Input!E$141)/Input!E$7</f>
        <v>423.23783838383844</v>
      </c>
      <c r="J16" s="6">
        <f>(Input!F$132+Input!F$133+Input!F$134+Input!F$28+Input!F$141)/Input!F$7</f>
        <v>479.26255639097747</v>
      </c>
      <c r="K16" s="6">
        <f>(Input!G$132+Input!G$133+Input!G$134+Input!G$28+Input!G$141)/Input!G$7</f>
        <v>517.0446495869304</v>
      </c>
      <c r="L16" s="6">
        <f>(Input!H$132+Input!H$133+Input!H$134+Input!H$28+Input!H$141)/Input!H$7</f>
        <v>487.14969264028576</v>
      </c>
      <c r="M16" s="6">
        <f>(Input!I$132+Input!I$133+Input!I$134+Input!I$28+Input!I$141)/Input!I$7</f>
        <v>558.95474627365604</v>
      </c>
      <c r="N16" s="6">
        <f>(Input!J$132+Input!J$133+Input!J$134+Input!J$28+Input!J$141)/Input!J$7</f>
        <v>723.57971398053644</v>
      </c>
      <c r="O16" s="6">
        <f>AVERAGE(E16:N16)</f>
        <v>519.69993781499431</v>
      </c>
    </row>
    <row r="17" spans="2:15" ht="12" customHeight="1" x14ac:dyDescent="0.2">
      <c r="B17" s="19" t="s">
        <v>209</v>
      </c>
      <c r="E17" s="6">
        <f>(Input!A$148-Input!A$154+Input!A$155)/Input!A$7</f>
        <v>189.65535055714432</v>
      </c>
      <c r="F17" s="6">
        <f>(Input!B$148-Input!B$154+Input!B$155)/Input!B$7</f>
        <v>219.11197502525016</v>
      </c>
      <c r="G17" s="6">
        <f>(Input!C$148-Input!C$154+Input!C$155)/Input!C$7</f>
        <v>270.02396198696175</v>
      </c>
      <c r="H17" s="6">
        <f>(Input!D$148-Input!D$154+Input!D$155)/Input!D$7</f>
        <v>221.79553351698809</v>
      </c>
      <c r="I17" s="6">
        <f>(Input!E$148-Input!E$154+Input!E$155)/Input!E$7</f>
        <v>184.25774196510559</v>
      </c>
      <c r="J17" s="6">
        <f>(Input!F$148-Input!F$154+Input!F$155)/Input!F$7</f>
        <v>230.4364865868375</v>
      </c>
      <c r="K17" s="6">
        <f>(Input!G$148-Input!G$154+Input!G$155)/Input!G$7</f>
        <v>254.35927782419012</v>
      </c>
      <c r="L17" s="6">
        <f>(Input!H$148-Input!H$154+Input!H$155)/Input!H$7</f>
        <v>231.26172948585389</v>
      </c>
      <c r="M17" s="6">
        <f>(Input!I$148-Input!I$154+Input!I$155)/Input!I$7</f>
        <v>281.25428069000162</v>
      </c>
      <c r="N17" s="6">
        <f>(Input!J$148-Input!J$154+Input!J$155)/Input!J$7</f>
        <v>414.29277830524569</v>
      </c>
      <c r="O17" s="6">
        <f>AVERAGE(E17:N17)</f>
        <v>249.64491159435784</v>
      </c>
    </row>
    <row r="18" spans="2:15" ht="12" customHeight="1" x14ac:dyDescent="0.2">
      <c r="B18" s="19" t="s">
        <v>210</v>
      </c>
      <c r="E18" s="6">
        <f>(Input!A$132+Input!A$135+Input!A$28+Input!A$141+Input!A$142+Input!A$147-Input!A$156+Input!A$157)/Input!A$7</f>
        <v>58.349982250271076</v>
      </c>
      <c r="F18" s="6">
        <f>(Input!B$132+Input!B$135+Input!B$28+Input!B$141+Input!B$142+Input!B$147-Input!B$156+Input!B$157)/Input!B$7</f>
        <v>86.40818657607204</v>
      </c>
      <c r="G18" s="6">
        <f>(Input!C$132+Input!C$135+Input!C$28+Input!C$141+Input!C$142+Input!C$147-Input!C$156+Input!C$157)/Input!C$7</f>
        <v>164.57443577265622</v>
      </c>
      <c r="H18" s="6">
        <f>(Input!D$132+Input!D$135+Input!D$28+Input!D$141+Input!D$142+Input!D$147-Input!D$156+Input!D$157)/Input!D$7</f>
        <v>87.15027364554642</v>
      </c>
      <c r="I18" s="6">
        <f>(Input!E$132+Input!E$135+Input!E$28+Input!E$141+Input!E$142+Input!E$147-Input!E$156+Input!E$157)/Input!E$7</f>
        <v>49.898851239669412</v>
      </c>
      <c r="J18" s="6">
        <f>(Input!F$132+Input!F$135+Input!F$28+Input!F$141+Input!F$142+Input!F$147-Input!F$156+Input!F$157)/Input!F$7</f>
        <v>81.460099322380088</v>
      </c>
      <c r="K18" s="6">
        <f>(Input!G$132+Input!G$135+Input!G$28+Input!G$141+Input!G$142+Input!G$147-Input!G$156+Input!G$157)/Input!G$7</f>
        <v>114.42563909774442</v>
      </c>
      <c r="L18" s="6">
        <f>(Input!H$132+Input!H$135+Input!H$28+Input!H$141+Input!H$142+Input!H$147-Input!H$156+Input!H$157)/Input!H$7</f>
        <v>93.729560109032818</v>
      </c>
      <c r="M18" s="6">
        <f>(Input!I$132+Input!I$135+Input!I$28+Input!I$141+Input!I$142+Input!I$147-Input!I$156+Input!I$157)/Input!I$7</f>
        <v>104.57471780271314</v>
      </c>
      <c r="N18" s="6">
        <f>(Input!J$132+Input!J$135+Input!J$28+Input!J$141+Input!J$142+Input!J$147-Input!J$156+Input!J$157)/Input!J$7</f>
        <v>241.59042487538582</v>
      </c>
      <c r="O18" s="6">
        <f>AVERAGE(E18:N18)</f>
        <v>108.21621706914716</v>
      </c>
    </row>
    <row r="19" spans="2:15" ht="12" customHeight="1" x14ac:dyDescent="0.2">
      <c r="B19" t="s">
        <v>211</v>
      </c>
      <c r="E19" s="6">
        <f>(Input!A$148-Input!A$24)/Input!A$7</f>
        <v>45.010856917463819</v>
      </c>
      <c r="F19" s="6">
        <f>(Input!B$148-Input!B$24)/Input!B$7</f>
        <v>72.608832063171434</v>
      </c>
      <c r="G19" s="6">
        <f>(Input!C$148-Input!C$24)/Input!C$7</f>
        <v>131.06276558626391</v>
      </c>
      <c r="H19" s="6">
        <f>(Input!D$148-Input!D$24)/Input!D$7</f>
        <v>75.699151515151584</v>
      </c>
      <c r="I19" s="6">
        <f>(Input!E$148-Input!E$24)/Input!E$7</f>
        <v>27.483077134986221</v>
      </c>
      <c r="J19" s="6">
        <f>(Input!F$148-Input!F$24)/Input!F$7</f>
        <v>71.481138958507429</v>
      </c>
      <c r="K19" s="6">
        <f>(Input!G$148-Input!G$24)/Input!G$7</f>
        <v>100.80735913858719</v>
      </c>
      <c r="L19" s="6">
        <f>(Input!H$148-Input!H$24)/Input!H$7</f>
        <v>73.908171820659845</v>
      </c>
      <c r="M19" s="6">
        <f>(Input!I$148-Input!I$24)/Input!I$7</f>
        <v>120.65986266956959</v>
      </c>
      <c r="N19" s="6">
        <f>(Input!J$148-Input!J$24)/Input!J$7</f>
        <v>214.01910989793501</v>
      </c>
      <c r="O19" s="6">
        <f>AVERAGE(E19:N19)</f>
        <v>93.274032570229608</v>
      </c>
    </row>
    <row r="20" spans="2:15" ht="6.75" customHeight="1" x14ac:dyDescent="0.2">
      <c r="B20" s="19"/>
      <c r="E20" s="6"/>
      <c r="F20" s="6"/>
      <c r="G20" s="6"/>
      <c r="H20" s="6"/>
      <c r="I20" s="6"/>
      <c r="J20" s="6"/>
      <c r="K20" s="6"/>
      <c r="L20" s="6"/>
      <c r="M20" s="6"/>
      <c r="N20" s="6"/>
      <c r="O20" s="6"/>
    </row>
    <row r="21" spans="2:15" ht="16.5" customHeight="1" x14ac:dyDescent="0.2">
      <c r="B21" s="19"/>
      <c r="D21" s="38" t="s">
        <v>213</v>
      </c>
      <c r="E21" s="38"/>
      <c r="F21" s="38"/>
      <c r="G21" s="38"/>
      <c r="H21" s="38"/>
      <c r="I21" s="38"/>
      <c r="J21" s="38"/>
      <c r="K21" s="38"/>
      <c r="L21" s="38"/>
      <c r="M21" s="38"/>
      <c r="N21" s="18"/>
      <c r="O21" s="6"/>
    </row>
    <row r="22" spans="2:15" ht="4.5" customHeight="1" x14ac:dyDescent="0.2">
      <c r="B22" s="19"/>
      <c r="D22" s="18"/>
      <c r="E22" s="18"/>
      <c r="F22" s="18"/>
      <c r="G22" s="18"/>
      <c r="H22" s="18"/>
      <c r="I22" s="18"/>
      <c r="J22" s="18"/>
      <c r="K22" s="18"/>
      <c r="L22" s="18"/>
      <c r="M22" s="18"/>
      <c r="N22" s="18"/>
      <c r="O22" s="6"/>
    </row>
    <row r="23" spans="2:15" ht="12" customHeight="1" x14ac:dyDescent="0.2">
      <c r="B23" t="s">
        <v>214</v>
      </c>
      <c r="E23" s="16">
        <f>Input!A148/Input!A24*100</f>
        <v>108.76864245240682</v>
      </c>
      <c r="F23" s="16">
        <f>Input!B148/Input!B24*100</f>
        <v>114.64424075226857</v>
      </c>
      <c r="G23" s="16">
        <f>Input!C148/Input!C24*100</f>
        <v>129.05840561388356</v>
      </c>
      <c r="H23" s="16">
        <f>Input!D148/Input!D24*100</f>
        <v>116.47632292681351</v>
      </c>
      <c r="I23" s="16">
        <f>Input!E148/Input!E24*100</f>
        <v>106.10000518689777</v>
      </c>
      <c r="J23" s="16">
        <f>Input!F148/Input!F24*100</f>
        <v>115.807262194071</v>
      </c>
      <c r="K23" s="16">
        <f>Input!G148/Input!G24*100</f>
        <v>122.22200523094841</v>
      </c>
      <c r="L23" s="16">
        <f>Input!H148/Input!H24*100</f>
        <v>116.34197780212976</v>
      </c>
      <c r="M23" s="16">
        <f>Input!I148/Input!I24*100</f>
        <v>126.21784238304636</v>
      </c>
      <c r="N23" s="16">
        <f>Input!J148/Input!J24*100</f>
        <v>137.29406559781467</v>
      </c>
      <c r="O23" s="16">
        <f>AVERAGE(E23:N23)</f>
        <v>119.29307701402804</v>
      </c>
    </row>
    <row r="24" spans="2:15" ht="12" customHeight="1" x14ac:dyDescent="0.2">
      <c r="B24" t="s">
        <v>215</v>
      </c>
      <c r="E24" s="16">
        <f>+E11/E7*100</f>
        <v>-5.4940922690731124</v>
      </c>
      <c r="F24" s="16">
        <f t="shared" ref="F24:N24" si="1">+F11/F7*100</f>
        <v>8.1704428377353278</v>
      </c>
      <c r="G24" s="16">
        <f t="shared" si="1"/>
        <v>21.530047535648077</v>
      </c>
      <c r="H24" s="16">
        <f t="shared" si="1"/>
        <v>12.329004262557399</v>
      </c>
      <c r="I24" s="16">
        <f t="shared" si="1"/>
        <v>0.28257186656201666</v>
      </c>
      <c r="J24" s="16">
        <f t="shared" si="1"/>
        <v>10.408500814622041</v>
      </c>
      <c r="K24" s="16">
        <f t="shared" si="1"/>
        <v>14.853922353746043</v>
      </c>
      <c r="L24" s="16">
        <f t="shared" si="1"/>
        <v>11.18287055678652</v>
      </c>
      <c r="M24" s="16">
        <f t="shared" si="1"/>
        <v>15.581132833882243</v>
      </c>
      <c r="N24" s="16">
        <f t="shared" si="1"/>
        <v>19.547711943010277</v>
      </c>
      <c r="O24" s="6">
        <f>AVERAGE(E24:N24)</f>
        <v>10.839211273547685</v>
      </c>
    </row>
    <row r="25" spans="2:15" ht="12" customHeight="1" x14ac:dyDescent="0.2">
      <c r="B25" t="s">
        <v>216</v>
      </c>
      <c r="E25" s="16">
        <f>+E9/E8*100</f>
        <v>38.395510551773228</v>
      </c>
      <c r="F25" s="16">
        <f t="shared" ref="F25:N25" si="2">+F9/F8*100</f>
        <v>43.931044614357553</v>
      </c>
      <c r="G25" s="16">
        <f t="shared" si="2"/>
        <v>51.374102580980107</v>
      </c>
      <c r="H25" s="16">
        <f t="shared" si="2"/>
        <v>45.315109200903109</v>
      </c>
      <c r="I25" s="16">
        <f t="shared" si="2"/>
        <v>43.535271484398919</v>
      </c>
      <c r="J25" s="16">
        <f t="shared" si="2"/>
        <v>48.081470900232354</v>
      </c>
      <c r="K25" s="16">
        <f t="shared" si="2"/>
        <v>49.194838013970163</v>
      </c>
      <c r="L25" s="16">
        <f t="shared" si="2"/>
        <v>47.472416175087055</v>
      </c>
      <c r="M25" s="16">
        <f t="shared" si="2"/>
        <v>50.317898285150918</v>
      </c>
      <c r="N25" s="16">
        <f t="shared" si="2"/>
        <v>57.25599685847326</v>
      </c>
      <c r="O25" s="6">
        <f>AVERAGE(E25:N25)</f>
        <v>47.48736586653267</v>
      </c>
    </row>
    <row r="26" spans="2:15" ht="12" customHeight="1" x14ac:dyDescent="0.2">
      <c r="B26" t="s">
        <v>217</v>
      </c>
      <c r="E26" s="16">
        <f>+E10/E8*100</f>
        <v>11.812887707120208</v>
      </c>
      <c r="F26" s="16">
        <f t="shared" ref="F26:N26" si="3">+F10/F8*100</f>
        <v>17.32448397255196</v>
      </c>
      <c r="G26" s="16">
        <f t="shared" si="3"/>
        <v>31.311532070622722</v>
      </c>
      <c r="H26" s="16">
        <f t="shared" si="3"/>
        <v>17.805697457086254</v>
      </c>
      <c r="I26" s="16">
        <f t="shared" si="3"/>
        <v>11.789789738604529</v>
      </c>
      <c r="J26" s="16">
        <f t="shared" si="3"/>
        <v>16.996967160506856</v>
      </c>
      <c r="K26" s="16">
        <f t="shared" si="3"/>
        <v>22.130707510301022</v>
      </c>
      <c r="L26" s="16">
        <f t="shared" si="3"/>
        <v>19.240402185420919</v>
      </c>
      <c r="M26" s="16">
        <f t="shared" si="3"/>
        <v>18.708977515599248</v>
      </c>
      <c r="N26" s="16">
        <f t="shared" si="3"/>
        <v>33.388225264961527</v>
      </c>
      <c r="O26" s="6">
        <f>AVERAGE(E26:N26)</f>
        <v>20.050967058277525</v>
      </c>
    </row>
    <row r="27" spans="2:15" ht="12" customHeight="1" x14ac:dyDescent="0.2">
      <c r="B27" t="s">
        <v>218</v>
      </c>
      <c r="E27" s="16">
        <f>+E11/E8*100</f>
        <v>-5.4182867409365594</v>
      </c>
      <c r="F27" s="16">
        <f t="shared" ref="F27:N27" si="4">+F11/F8*100</f>
        <v>8.0588604005323727</v>
      </c>
      <c r="G27" s="16">
        <f t="shared" si="4"/>
        <v>22.215362310532356</v>
      </c>
      <c r="H27" s="16">
        <f t="shared" si="4"/>
        <v>12.227433843143633</v>
      </c>
      <c r="I27" s="16">
        <f t="shared" si="4"/>
        <v>0.28769198980191701</v>
      </c>
      <c r="J27" s="16">
        <f t="shared" si="4"/>
        <v>10.221733953947995</v>
      </c>
      <c r="K27" s="16">
        <f t="shared" si="4"/>
        <v>14.684523880218938</v>
      </c>
      <c r="L27" s="16">
        <f t="shared" si="4"/>
        <v>11.176629229792658</v>
      </c>
      <c r="M27" s="16">
        <f t="shared" si="4"/>
        <v>14.734961170657915</v>
      </c>
      <c r="N27" s="16">
        <f t="shared" si="4"/>
        <v>19.769412014060141</v>
      </c>
      <c r="O27" s="6">
        <f>AVERAGE(E27:N27)</f>
        <v>10.795832205175135</v>
      </c>
    </row>
    <row r="28" spans="2:15" ht="6.75" customHeight="1" x14ac:dyDescent="0.2">
      <c r="E28" s="16"/>
      <c r="F28" s="16"/>
      <c r="G28" s="16"/>
      <c r="H28" s="16"/>
      <c r="I28" s="16"/>
      <c r="J28" s="16"/>
      <c r="K28" s="16"/>
      <c r="L28" s="16"/>
      <c r="M28" s="16"/>
      <c r="N28" s="16"/>
      <c r="O28" s="6"/>
    </row>
    <row r="29" spans="2:15" ht="16.5" customHeight="1" x14ac:dyDescent="0.2">
      <c r="D29" s="38" t="s">
        <v>219</v>
      </c>
      <c r="E29" s="40"/>
      <c r="F29" s="40"/>
      <c r="G29" s="40"/>
      <c r="H29" s="40"/>
      <c r="I29" s="40"/>
      <c r="J29" s="40"/>
      <c r="K29" s="40"/>
      <c r="L29" s="40"/>
      <c r="M29" s="40"/>
      <c r="N29" s="18"/>
      <c r="O29" s="6"/>
    </row>
    <row r="30" spans="2:15" ht="4.5" customHeight="1" x14ac:dyDescent="0.2"/>
    <row r="31" spans="2:15" x14ac:dyDescent="0.2">
      <c r="B31" t="s">
        <v>220</v>
      </c>
      <c r="E31" s="17">
        <f>Input!A14/(Input!A97+Input!A98)*2</f>
        <v>29.441173233510902</v>
      </c>
      <c r="F31" s="17">
        <f>Input!B14/(Input!B97+Input!B98)*2</f>
        <v>28.010125222598731</v>
      </c>
      <c r="G31" s="17">
        <f>Input!C14/(Input!C97+Input!C98)*2</f>
        <v>22.613466727165189</v>
      </c>
      <c r="H31" s="17">
        <f>Input!D14/(Input!D97+Input!D98)*2</f>
        <v>23.194083962854897</v>
      </c>
      <c r="I31" s="17">
        <f>Input!E14/(Input!E97+Input!E98)*2</f>
        <v>22.570835705759631</v>
      </c>
      <c r="J31" s="17">
        <f>Input!F14/(Input!F97+Input!F98)*2</f>
        <v>21.301673929764785</v>
      </c>
      <c r="K31" s="17">
        <f>Input!G14/(Input!G97+Input!G98)*2</f>
        <v>19.639094752296543</v>
      </c>
      <c r="L31" s="17">
        <f>Input!H14/(Input!H97+Input!H98)*2</f>
        <v>20.620061212020346</v>
      </c>
      <c r="M31" s="17">
        <f>Input!I14/(Input!I97+Input!I98)*2</f>
        <v>22.829150419465147</v>
      </c>
      <c r="N31" s="17">
        <f>Input!J14/(Input!J97+Input!J98)*2</f>
        <v>25.758303110918074</v>
      </c>
      <c r="O31" s="6">
        <f t="shared" ref="O31:O37" si="5">AVERAGE(E31:N31)</f>
        <v>23.597796827635424</v>
      </c>
    </row>
    <row r="32" spans="2:15" x14ac:dyDescent="0.2">
      <c r="B32" t="s">
        <v>221</v>
      </c>
      <c r="E32" s="17">
        <f>'DB-fm'!E9</f>
        <v>27.29832880136594</v>
      </c>
      <c r="F32" s="17">
        <f>'DB-fm'!F9</f>
        <v>38.088969335942409</v>
      </c>
      <c r="G32" s="17">
        <f>'DB-fm'!G9</f>
        <v>41.977634628867726</v>
      </c>
      <c r="H32" s="17">
        <f>'DB-fm'!H9</f>
        <v>36.413006049344531</v>
      </c>
      <c r="I32" s="17">
        <f>'DB-fm'!I9</f>
        <v>28.585588822837199</v>
      </c>
      <c r="J32" s="17">
        <f>'DB-fm'!J9</f>
        <v>31.086045445338094</v>
      </c>
      <c r="K32" s="17">
        <f>'DB-fm'!K9</f>
        <v>33.560047156312862</v>
      </c>
      <c r="L32" s="17">
        <f>'DB-fm'!L9</f>
        <v>32.977585646229485</v>
      </c>
      <c r="M32" s="17">
        <f>'DB-fm'!M9</f>
        <v>38.286956778395421</v>
      </c>
      <c r="N32" s="17">
        <f>'DB-fm'!N9</f>
        <v>42.130134773927438</v>
      </c>
      <c r="O32" s="6">
        <f t="shared" si="5"/>
        <v>35.040429743856109</v>
      </c>
    </row>
    <row r="33" spans="1:15" x14ac:dyDescent="0.2">
      <c r="B33" t="s">
        <v>222</v>
      </c>
      <c r="E33" s="17">
        <f>(Input!A24-Input!A125-Input!A28-Input!A141-Input!A142-Input!A147+Input!A203+Input!A207)/E32/Input!A7</f>
        <v>7.1092506822920196</v>
      </c>
      <c r="F33" s="17">
        <f>(Input!B24-Input!B125-Input!B28-Input!B141-Input!B142-Input!B147+Input!B203+Input!B207)/F32/Input!B7</f>
        <v>5.2429370636551678</v>
      </c>
      <c r="G33" s="17">
        <f>(Input!C24-Input!C125-Input!C28-Input!C141-Input!C142-Input!C147+Input!C203+Input!C207)/G32/Input!C7</f>
        <v>4.5039994793751079</v>
      </c>
      <c r="H33" s="17">
        <f>(Input!D24-Input!D125-Input!D28-Input!D141-Input!D142-Input!D147+Input!D203+Input!D207)/H32/Input!D7</f>
        <v>5.5088149329552918</v>
      </c>
      <c r="I33" s="17">
        <f>(Input!E24-Input!E125-Input!E28-Input!E141-Input!E142-Input!E147+Input!E203+Input!E207)/I32/Input!E7</f>
        <v>6.8348988082690747</v>
      </c>
      <c r="J33" s="17">
        <f>(Input!F24-Input!F125-Input!F28-Input!F141-Input!F142-Input!F147+Input!F203+Input!F207)/J32/Input!F7</f>
        <v>6.2624560990545346</v>
      </c>
      <c r="K33" s="17">
        <f>(Input!G24-Input!G125-Input!G28-Input!G141-Input!G142-Input!G147+Input!G203+Input!G207)/K32/Input!G7</f>
        <v>5.4876354634187843</v>
      </c>
      <c r="L33" s="17">
        <f>(Input!H24-Input!H125-Input!H28-Input!H141-Input!H142-Input!H147+Input!H203+Input!H207)/L32/Input!H7</f>
        <v>6.0003320175158246</v>
      </c>
      <c r="M33" s="17">
        <f>(Input!I24-Input!I125-Input!I28-Input!I141-Input!I142-Input!I147+Input!I203+Input!I207)/M32/Input!I7</f>
        <v>5.8149887536593585</v>
      </c>
      <c r="N33" s="17">
        <f>(Input!J24-Input!J125-Input!J28-Input!J141-Input!J142-Input!J147+Input!J203+Input!J207)/N32/Input!J7</f>
        <v>6.0237007846718162</v>
      </c>
      <c r="O33" s="6">
        <f t="shared" si="5"/>
        <v>5.8789014084866977</v>
      </c>
    </row>
    <row r="34" spans="1:15" x14ac:dyDescent="0.2">
      <c r="B34" t="s">
        <v>223</v>
      </c>
      <c r="E34" s="17">
        <f>E33*Input!A7/Input!A5*100</f>
        <v>109.23471389261117</v>
      </c>
      <c r="F34" s="17">
        <f>F33*Input!B7/Input!B5*100</f>
        <v>78.651277631223735</v>
      </c>
      <c r="G34" s="17">
        <f>G33*Input!C7/Input!C5*100</f>
        <v>67.566196046658817</v>
      </c>
      <c r="H34" s="17">
        <f>H33*Input!D7/Input!D5*100</f>
        <v>82.632223994329365</v>
      </c>
      <c r="I34" s="17">
        <f>I33*Input!E7/Input!E5*100</f>
        <v>95.917587657281217</v>
      </c>
      <c r="J34" s="17">
        <f>J33*Input!F7/Input!F5*100</f>
        <v>83.912238252629976</v>
      </c>
      <c r="K34" s="17">
        <f>K33*Input!G7/Input!G5*100</f>
        <v>72.626900303944183</v>
      </c>
      <c r="L34" s="17">
        <f>L33*Input!H7/Input!H5*100</f>
        <v>77.472733415474337</v>
      </c>
      <c r="M34" s="17">
        <f>M33*Input!I7/Input!I5*100</f>
        <v>71.296299482751607</v>
      </c>
      <c r="N34" s="17">
        <f>N33*Input!J7/Input!J5*100</f>
        <v>73.880207877212129</v>
      </c>
      <c r="O34" s="6">
        <f t="shared" si="5"/>
        <v>81.319037855411636</v>
      </c>
    </row>
    <row r="35" spans="1:15" x14ac:dyDescent="0.2">
      <c r="B35" t="s">
        <v>224</v>
      </c>
      <c r="E35" s="17">
        <f>Input!A6/E33/Input!A7*100</f>
        <v>90.121478681877448</v>
      </c>
      <c r="F35" s="17">
        <f>Input!B6/F33/Input!B7*100</f>
        <v>122.05952694194606</v>
      </c>
      <c r="G35" s="17">
        <f>Input!C6/G33/Input!C7*100</f>
        <v>162.4526639381186</v>
      </c>
      <c r="H35" s="17">
        <f>Input!D6/H33/Input!D7*100</f>
        <v>130.52459039251806</v>
      </c>
      <c r="I35" s="17">
        <f>Input!E6/I33/Input!E7*100</f>
        <v>102.03314569216404</v>
      </c>
      <c r="J35" s="17">
        <f>Input!F6/J33/Input!F7*100</f>
        <v>126.07040072794149</v>
      </c>
      <c r="K35" s="17">
        <f>Input!G6/K33/Input!G7*100</f>
        <v>142.69113709031842</v>
      </c>
      <c r="L35" s="17">
        <f>Input!H6/L33/Input!H7*100</f>
        <v>128.28660038278522</v>
      </c>
      <c r="M35" s="17">
        <f>Input!I6/M33/Input!I7*100</f>
        <v>138.44099437265228</v>
      </c>
      <c r="N35" s="17">
        <f>Input!J6/N33/Input!J7*100</f>
        <v>158.59104601253301</v>
      </c>
      <c r="O35" s="6">
        <f t="shared" si="5"/>
        <v>130.12715842328549</v>
      </c>
    </row>
    <row r="36" spans="1:15" x14ac:dyDescent="0.2">
      <c r="B36" t="s">
        <v>225</v>
      </c>
      <c r="E36" s="17">
        <f>(Input!A5-E33*Input!A7)/Input!A5*100</f>
        <v>-9.2347138926111665</v>
      </c>
      <c r="F36" s="17">
        <f>(Input!B5-F33*Input!B7)/Input!B5*100</f>
        <v>21.348722368776269</v>
      </c>
      <c r="G36" s="17">
        <f>(Input!C5-G33*Input!C7)/Input!C5*100</f>
        <v>32.433803953341183</v>
      </c>
      <c r="H36" s="17">
        <f>(Input!D5-H33*Input!D7)/Input!D5*100</f>
        <v>17.367776005670628</v>
      </c>
      <c r="I36" s="17">
        <f>(Input!E5-I33*Input!E7)/Input!E5*100</f>
        <v>4.0824123427187873</v>
      </c>
      <c r="J36" s="17">
        <f>(Input!F5-J33*Input!F7)/Input!F5*100</f>
        <v>16.087761747370028</v>
      </c>
      <c r="K36" s="17">
        <f>(Input!G5-K33*Input!G7)/Input!G5*100</f>
        <v>27.373099696055814</v>
      </c>
      <c r="L36" s="17">
        <f>(Input!H5-L33*Input!H7)/Input!H5*100</f>
        <v>22.527266584525659</v>
      </c>
      <c r="M36" s="17">
        <f>(Input!I5-M33*Input!I7)/Input!I5*100</f>
        <v>28.703700517248393</v>
      </c>
      <c r="N36" s="17">
        <f>(Input!J5-N33*Input!J7)/Input!J5*100</f>
        <v>26.119792122787882</v>
      </c>
      <c r="O36" s="6">
        <f t="shared" si="5"/>
        <v>18.680962144588346</v>
      </c>
    </row>
    <row r="37" spans="1:15" x14ac:dyDescent="0.2">
      <c r="B37" t="s">
        <v>226</v>
      </c>
      <c r="E37" s="17">
        <f>(Input!A6-E33*Input!A7)/Input!A6*100</f>
        <v>-10.961339585863929</v>
      </c>
      <c r="F37" s="17">
        <f>(Input!B6-F33*Input!B7)/Input!B6*100</f>
        <v>18.072761294936036</v>
      </c>
      <c r="G37" s="17">
        <f>(Input!C6-G33*Input!C7)/Input!C6*100</f>
        <v>38.443607155563825</v>
      </c>
      <c r="H37" s="17">
        <f>(Input!D6-H33*Input!D7)/Input!D6*100</f>
        <v>23.386084032689521</v>
      </c>
      <c r="I37" s="17">
        <f>(Input!E6-I33*Input!E7)/Input!E6*100</f>
        <v>1.9926325689282125</v>
      </c>
      <c r="J37" s="17">
        <f>(Input!F6-J33*Input!F7)/Input!F6*100</f>
        <v>20.67923999401027</v>
      </c>
      <c r="K37" s="17">
        <f>(Input!G6-K33*Input!G7)/Input!G6*100</f>
        <v>29.918562540640803</v>
      </c>
      <c r="L37" s="17">
        <f>(Input!H6-L33*Input!H7)/Input!H6*100</f>
        <v>22.04953619347841</v>
      </c>
      <c r="M37" s="17">
        <f>(Input!I6-M33*Input!I7)/Input!I6*100</f>
        <v>27.767060289366093</v>
      </c>
      <c r="N37" s="17">
        <f>(Input!J6-N33*Input!J7)/Input!J6*100</f>
        <v>36.944737729961581</v>
      </c>
      <c r="O37" s="6">
        <f t="shared" si="5"/>
        <v>20.829288221371083</v>
      </c>
    </row>
    <row r="38" spans="1:15" ht="15.75" x14ac:dyDescent="0.25">
      <c r="A38" t="s">
        <v>48</v>
      </c>
      <c r="C38" s="12">
        <f>Input!A3</f>
        <v>2024</v>
      </c>
      <c r="D38" s="36" t="s">
        <v>205</v>
      </c>
      <c r="E38" s="36"/>
      <c r="F38" s="36"/>
      <c r="G38" s="36"/>
      <c r="H38" s="36"/>
      <c r="I38" s="36"/>
      <c r="J38" s="36"/>
      <c r="K38" s="36"/>
      <c r="L38" s="36"/>
      <c r="M38" s="36"/>
      <c r="O38" s="3" t="s">
        <v>320</v>
      </c>
    </row>
    <row r="39" spans="1:15" ht="15.75" customHeight="1" x14ac:dyDescent="0.2">
      <c r="D39" s="37" t="str">
        <f>Kenndat!D2</f>
        <v>Produktionsgebiet 1: Alpenvorland</v>
      </c>
      <c r="E39" s="37"/>
      <c r="F39" s="37"/>
      <c r="G39" s="37"/>
      <c r="H39" s="37"/>
      <c r="I39" s="37"/>
      <c r="J39" s="37"/>
      <c r="K39" s="37"/>
      <c r="L39" s="37"/>
      <c r="M39" s="37"/>
      <c r="N39" s="5"/>
    </row>
    <row r="40" spans="1:15" ht="21" customHeight="1" x14ac:dyDescent="0.2"/>
    <row r="41" spans="1:15" x14ac:dyDescent="0.2">
      <c r="E41" s="3">
        <f>Input!A3</f>
        <v>2024</v>
      </c>
      <c r="F41" s="3">
        <f t="shared" ref="F41:N41" si="6">+E41-1</f>
        <v>2023</v>
      </c>
      <c r="G41" s="3">
        <f t="shared" si="6"/>
        <v>2022</v>
      </c>
      <c r="H41" s="3">
        <f t="shared" si="6"/>
        <v>2021</v>
      </c>
      <c r="I41" s="3">
        <f t="shared" si="6"/>
        <v>2020</v>
      </c>
      <c r="J41" s="3">
        <f t="shared" si="6"/>
        <v>2019</v>
      </c>
      <c r="K41" s="3">
        <f t="shared" si="6"/>
        <v>2018</v>
      </c>
      <c r="L41" s="3">
        <f t="shared" si="6"/>
        <v>2017</v>
      </c>
      <c r="M41" s="3">
        <f t="shared" si="6"/>
        <v>2016</v>
      </c>
      <c r="N41" s="3">
        <f t="shared" si="6"/>
        <v>2015</v>
      </c>
      <c r="O41" s="3" t="s">
        <v>16</v>
      </c>
    </row>
    <row r="42" spans="1:15" ht="22.5" customHeight="1" x14ac:dyDescent="0.2">
      <c r="D42" s="38" t="s">
        <v>321</v>
      </c>
      <c r="E42" s="38"/>
      <c r="F42" s="38"/>
      <c r="G42" s="38"/>
      <c r="H42" s="38"/>
      <c r="I42" s="38"/>
      <c r="J42" s="38"/>
      <c r="K42" s="38"/>
      <c r="L42" s="38"/>
      <c r="M42" s="38"/>
    </row>
    <row r="43" spans="1:15" ht="4.5" customHeight="1" x14ac:dyDescent="0.2"/>
    <row r="44" spans="1:15" ht="12.75" customHeight="1" x14ac:dyDescent="0.2">
      <c r="B44" t="s">
        <v>55</v>
      </c>
      <c r="E44" s="17">
        <f>(Input!A124-Input!A28-Input!A138-Input!A202-Input!A143)/E$32/Kenndat!E$12</f>
        <v>2.7898915115049898</v>
      </c>
      <c r="F44" s="17">
        <f>(Input!B124-Input!B28-Input!B138-Input!B202-Input!B143)/F$32/Kenndat!F$12</f>
        <v>1.5489792230394854</v>
      </c>
      <c r="G44" s="17">
        <f>(Input!C124-Input!C28-Input!C138-Input!C202-Input!C143)/G$32/Kenndat!G$12</f>
        <v>1.2812449275504445</v>
      </c>
      <c r="H44" s="17">
        <f>(Input!D124-Input!D28-Input!D138-Input!D202-Input!D143)/H$32/Kenndat!H$12</f>
        <v>1.9705939343464236</v>
      </c>
      <c r="I44" s="17">
        <f>(Input!E124-Input!E28-Input!E138-Input!E202-Input!E143)/I$32/Kenndat!I$12</f>
        <v>2.7450171348853969</v>
      </c>
      <c r="J44" s="17">
        <f>(Input!F124-Input!F28-Input!F138-Input!F202-Input!F143)/J$32/Kenndat!J$12</f>
        <v>2.2966244272762104</v>
      </c>
      <c r="K44" s="17">
        <f>(Input!G124-Input!G28-Input!G138-Input!G202-Input!G143)/K$32/Kenndat!K$12</f>
        <v>2.1345626836100622</v>
      </c>
      <c r="L44" s="17">
        <f>(Input!H124-Input!H28-Input!H138-Input!H202-Input!H143)/L$32/Kenndat!L$12</f>
        <v>2.010489263218008</v>
      </c>
      <c r="M44" s="17">
        <f>(Input!I124-Input!I28-Input!I138-Input!I202-Input!I143)/M$32/Kenndat!M$12</f>
        <v>2.9748769033566447</v>
      </c>
      <c r="N44" s="17">
        <f>(Input!J124-Input!J28-Input!J138-Input!J202-Input!J143)/N$32/Kenndat!N$12</f>
        <v>1.5855950974654391</v>
      </c>
      <c r="O44" s="6">
        <f t="shared" ref="O44:O60" si="7">AVERAGE(E44:N44)</f>
        <v>2.1337875106253104</v>
      </c>
    </row>
    <row r="45" spans="1:15" ht="12.75" customHeight="1" x14ac:dyDescent="0.2">
      <c r="B45" t="s">
        <v>61</v>
      </c>
      <c r="E45" s="17">
        <f>(Input!A18-Input!A136-Input!A204-Input!A144)/E$32/Kenndat!E$12</f>
        <v>0.7627985608929696</v>
      </c>
      <c r="F45" s="17">
        <f>(Input!B18-Input!B136-Input!B204-Input!B144)/F$32/Kenndat!F$12</f>
        <v>0.57443785019692661</v>
      </c>
      <c r="G45" s="17">
        <f>(Input!C18-Input!C136-Input!C204-Input!C144)/G$32/Kenndat!G$12</f>
        <v>0.27563494870662003</v>
      </c>
      <c r="H45" s="17">
        <f>(Input!D18-Input!D136-Input!D204-Input!D144)/H$32/Kenndat!H$12</f>
        <v>0.38218016724866399</v>
      </c>
      <c r="I45" s="17">
        <f>(Input!E18-Input!E136-Input!E204-Input!E144)/I$32/Kenndat!I$12</f>
        <v>0.45910944020129985</v>
      </c>
      <c r="J45" s="17">
        <f>(Input!F18-Input!F136-Input!F204-Input!F144)/J$32/Kenndat!J$12</f>
        <v>0.24177789076354628</v>
      </c>
      <c r="K45" s="17">
        <f>(Input!G18-Input!G136-Input!G204-Input!G144)/K$32/Kenndat!K$12</f>
        <v>0.47950189451320269</v>
      </c>
      <c r="L45" s="17">
        <f>(Input!H18-Input!H136-Input!H204-Input!H144)/L$32/Kenndat!L$12</f>
        <v>0.48319500787675135</v>
      </c>
      <c r="M45" s="17">
        <f>(Input!I18-Input!I136-Input!I204-Input!I144)/M$32/Kenndat!M$12</f>
        <v>0.30550621805676237</v>
      </c>
      <c r="N45" s="17">
        <f>(Input!J18-Input!J136-Input!J204-Input!J144)/N$32/Kenndat!N$12</f>
        <v>0.41017535384714543</v>
      </c>
      <c r="O45" s="6">
        <f t="shared" si="7"/>
        <v>0.43743173323038881</v>
      </c>
    </row>
    <row r="46" spans="1:15" ht="12.75" customHeight="1" x14ac:dyDescent="0.2">
      <c r="B46" t="s">
        <v>316</v>
      </c>
      <c r="E46" s="17">
        <f>(Input!A19+Input!A20-Input!A137-Input!A205-Input!A139-Input!A208)/E$32/Kenndat!E$12</f>
        <v>0.16615861406887997</v>
      </c>
      <c r="F46" s="17">
        <f>(Input!B19+Input!B20-Input!B137-Input!B205-Input!B139-Input!B208)/F$32/Kenndat!F$12</f>
        <v>0.22855495903303277</v>
      </c>
      <c r="G46" s="17">
        <f>(Input!C19+Input!C20-Input!C137-Input!C205-Input!C139-Input!C208)/G$32/Kenndat!G$12</f>
        <v>0.20363557460995257</v>
      </c>
      <c r="H46" s="17">
        <f>(Input!D19+Input!D20-Input!D137-Input!D205-Input!D139-Input!D208)/H$32/Kenndat!H$12</f>
        <v>2.8657254625673104E-2</v>
      </c>
      <c r="I46" s="17">
        <f>(Input!E19+Input!E20-Input!E137-Input!E205-Input!E139-Input!E208)/I$32/Kenndat!I$12</f>
        <v>-4.4685934065952664E-2</v>
      </c>
      <c r="J46" s="17">
        <f>(Input!F19+Input!F20-Input!F137-Input!F205-Input!F139-Input!F208)/J$32/Kenndat!J$12</f>
        <v>0.19981691444217331</v>
      </c>
      <c r="K46" s="17">
        <f>(Input!G19+Input!G20-Input!G137-Input!G205-Input!G139-Input!G208)/K$32/Kenndat!K$12</f>
        <v>-0.4259146786230471</v>
      </c>
      <c r="L46" s="17">
        <f>(Input!H19+Input!H20-Input!H137-Input!H205-Input!H139-Input!H208)/L$32/Kenndat!L$12</f>
        <v>0.13464933002031465</v>
      </c>
      <c r="M46" s="17">
        <f>(Input!I19+Input!I20-Input!I137-Input!I205-Input!I139-Input!I208)/M$32/Kenndat!M$12</f>
        <v>-0.30644532250312223</v>
      </c>
      <c r="N46" s="17">
        <f>(Input!J19+Input!J20-Input!J137-Input!J205-Input!J139-Input!J208)/N$32/Kenndat!N$12</f>
        <v>1.0487973938124717</v>
      </c>
      <c r="O46" s="6">
        <f t="shared" si="7"/>
        <v>0.1233224105420376</v>
      </c>
    </row>
    <row r="47" spans="1:15" ht="12.75" customHeight="1" x14ac:dyDescent="0.2">
      <c r="B47" t="s">
        <v>65</v>
      </c>
      <c r="E47" s="17">
        <f>(Input!A127-(Input!A142+Input!A141+Input!A147-Input!A143-Input!A144-Input!A207-Input!A208-SUM(Input!A136:A139)-SUM(Input!A202:'Input'!A205)))/E$32/Kenndat!E$12</f>
        <v>3.3904019958251821</v>
      </c>
      <c r="F47" s="17">
        <f>(Input!B127-(Input!B142+Input!B141+Input!B147-Input!B143-Input!B144-Input!B207-Input!B208-SUM(Input!B136:B139)-SUM(Input!B202:'Input'!B205)))/F$32/Kenndat!F$12</f>
        <v>2.8909650313857238</v>
      </c>
      <c r="G47" s="17">
        <f>(Input!C127-(Input!C142+Input!C141+Input!C147-Input!C143-Input!C144-Input!C207-Input!C208-SUM(Input!C136:C139)-SUM(Input!C202:'Input'!C205)))/G$32/Kenndat!G$12</f>
        <v>2.743484028508091</v>
      </c>
      <c r="H47" s="17">
        <f>(Input!D127-(Input!D142+Input!D141+Input!D147-Input!D143-Input!D144-Input!D207-Input!D208-SUM(Input!D136:D139)-SUM(Input!D202:'Input'!D205)))/H$32/Kenndat!H$12</f>
        <v>3.127383576734533</v>
      </c>
      <c r="I47" s="17">
        <f>(Input!E127-(Input!E142+Input!E141+Input!E147-Input!E143-Input!E144-Input!E207-Input!E208-SUM(Input!E136:E139)-SUM(Input!E202:'Input'!E205)))/I$32/Kenndat!I$12</f>
        <v>3.6754581672483293</v>
      </c>
      <c r="J47" s="17">
        <f>(Input!F127-(Input!F142+Input!F141+Input!F147-Input!F143-Input!F144-Input!F207-Input!F208-SUM(Input!F136:F139)-SUM(Input!F202:'Input'!F205)))/J$32/Kenndat!J$12</f>
        <v>3.5242368665726058</v>
      </c>
      <c r="K47" s="17">
        <f>(Input!G127-(Input!G142+Input!G141+Input!G147-Input!G143-Input!G144-Input!G207-Input!G208-SUM(Input!G136:G139)-SUM(Input!G202:'Input'!G205)))/K$32/Kenndat!K$12</f>
        <v>3.2994855639185654</v>
      </c>
      <c r="L47" s="17">
        <f>(Input!H127-(Input!H142+Input!H141+Input!H147-Input!H143-Input!H144-Input!H207-Input!H208-SUM(Input!H136:H139)-SUM(Input!H202:'Input'!H205)))/L$32/Kenndat!L$12</f>
        <v>3.3719984164007526</v>
      </c>
      <c r="M47" s="17">
        <f>(Input!I127-(Input!I142+Input!I141+Input!I147-Input!I143-Input!I144-Input!I207-Input!I208-SUM(Input!I136:I139)-SUM(Input!I202:'Input'!I205)))/M$32/Kenndat!M$12</f>
        <v>2.8410509547490745</v>
      </c>
      <c r="N47" s="17">
        <f>(Input!J127-(Input!J142+Input!J141+Input!J147-Input!J143-Input!J144-Input!J207-Input!J208-SUM(Input!J136:J139)-SUM(Input!J202:'Input'!J205)))/N$32/Kenndat!N$12</f>
        <v>2.9791329395467603</v>
      </c>
      <c r="O47" s="6">
        <f t="shared" si="7"/>
        <v>3.1843597540889617</v>
      </c>
    </row>
    <row r="48" spans="1:15" ht="12.75" customHeight="1" x14ac:dyDescent="0.2">
      <c r="B48" s="4" t="s">
        <v>317</v>
      </c>
      <c r="E48" s="33">
        <f>SUM(E44:E47)</f>
        <v>7.1092506822920214</v>
      </c>
      <c r="F48" s="33">
        <f t="shared" ref="F48:N48" si="8">SUM(F44:F47)</f>
        <v>5.2429370636551687</v>
      </c>
      <c r="G48" s="33">
        <f t="shared" si="8"/>
        <v>4.5039994793751079</v>
      </c>
      <c r="H48" s="33">
        <f t="shared" si="8"/>
        <v>5.5088149329552936</v>
      </c>
      <c r="I48" s="33">
        <f t="shared" si="8"/>
        <v>6.8348988082690738</v>
      </c>
      <c r="J48" s="33">
        <f t="shared" si="8"/>
        <v>6.2624560990545355</v>
      </c>
      <c r="K48" s="33">
        <f t="shared" si="8"/>
        <v>5.4876354634187834</v>
      </c>
      <c r="L48" s="33">
        <f t="shared" si="8"/>
        <v>6.0003320175158272</v>
      </c>
      <c r="M48" s="33">
        <f t="shared" si="8"/>
        <v>5.8149887536593594</v>
      </c>
      <c r="N48" s="33">
        <f t="shared" si="8"/>
        <v>6.0237007846718162</v>
      </c>
      <c r="O48" s="8">
        <f t="shared" si="7"/>
        <v>5.8789014084866986</v>
      </c>
    </row>
    <row r="49" spans="2:15" ht="12.75" customHeight="1" x14ac:dyDescent="0.2">
      <c r="B49" t="s">
        <v>318</v>
      </c>
      <c r="E49" s="17">
        <f>(Input!A212/E$32/Kenndat!E$12)*(-1)</f>
        <v>-1.5257191450961129</v>
      </c>
      <c r="F49" s="17">
        <f>(Input!B212/F$32/Kenndat!F$12)*(-1)</f>
        <v>-1.0844563346046299</v>
      </c>
      <c r="G49" s="17">
        <f>(Input!C212/G$32/Kenndat!G$12)*(-1)</f>
        <v>-0.93425494837302248</v>
      </c>
      <c r="H49" s="17">
        <f>(Input!D212/H$32/Kenndat!H$12)*(-1)</f>
        <v>-1.0322085546668969</v>
      </c>
      <c r="I49" s="17">
        <f>(Input!E212/I$32/Kenndat!I$12)*(-1)</f>
        <v>-1.3147764293096542</v>
      </c>
      <c r="J49" s="17">
        <f>(Input!F212/J$32/Kenndat!J$12)*(-1)</f>
        <v>-1.1446389772945993</v>
      </c>
      <c r="K49" s="17">
        <f>(Input!G212/K$32/Kenndat!K$12)*(-1)</f>
        <v>-0.99799542726113644</v>
      </c>
      <c r="L49" s="17">
        <f>(Input!H212/L$32/Kenndat!L$12)*(-1)</f>
        <v>-1.1093277942658595</v>
      </c>
      <c r="M49" s="17">
        <f>(Input!I212/M$32/Kenndat!M$12)*(-1)</f>
        <v>-1.3292636974590106</v>
      </c>
      <c r="N49" s="17">
        <f>(Input!J212/N$32/Kenndat!N$12)*(-1)</f>
        <v>2.8808255902498033E-2</v>
      </c>
      <c r="O49" s="6">
        <f t="shared" si="7"/>
        <v>-1.0443833052428422</v>
      </c>
    </row>
    <row r="50" spans="2:15" ht="12.75" customHeight="1" x14ac:dyDescent="0.2">
      <c r="B50" s="4" t="s">
        <v>319</v>
      </c>
      <c r="E50" s="33">
        <f>E48+E49</f>
        <v>5.583531537195908</v>
      </c>
      <c r="F50" s="33">
        <f t="shared" ref="F50:N50" si="9">F48+F49</f>
        <v>4.158480729050539</v>
      </c>
      <c r="G50" s="33">
        <f t="shared" si="9"/>
        <v>3.5697445310020854</v>
      </c>
      <c r="H50" s="33">
        <f t="shared" si="9"/>
        <v>4.4766063782883965</v>
      </c>
      <c r="I50" s="33">
        <f t="shared" si="9"/>
        <v>5.5201223789594192</v>
      </c>
      <c r="J50" s="33">
        <f t="shared" si="9"/>
        <v>5.117817121759936</v>
      </c>
      <c r="K50" s="33">
        <f t="shared" si="9"/>
        <v>4.4896400361576472</v>
      </c>
      <c r="L50" s="33">
        <f t="shared" si="9"/>
        <v>4.8910042232499675</v>
      </c>
      <c r="M50" s="33">
        <f t="shared" si="9"/>
        <v>4.4857250562003488</v>
      </c>
      <c r="N50" s="33">
        <f t="shared" si="9"/>
        <v>6.0525090405743143</v>
      </c>
      <c r="O50" s="8">
        <f t="shared" si="7"/>
        <v>4.8345181032438562</v>
      </c>
    </row>
    <row r="51" spans="2:15" ht="6.75" customHeight="1" x14ac:dyDescent="0.2">
      <c r="O51" s="6"/>
    </row>
    <row r="52" spans="2:15" ht="16.5" customHeight="1" x14ac:dyDescent="0.2">
      <c r="D52" s="38" t="s">
        <v>322</v>
      </c>
      <c r="E52" s="39"/>
      <c r="F52" s="39"/>
      <c r="G52" s="39"/>
      <c r="H52" s="39"/>
      <c r="I52" s="39"/>
      <c r="J52" s="39"/>
      <c r="K52" s="39"/>
      <c r="L52" s="39"/>
      <c r="M52" s="39"/>
      <c r="O52" s="6"/>
    </row>
    <row r="53" spans="2:15" ht="4.5" customHeight="1" x14ac:dyDescent="0.2">
      <c r="O53" s="6"/>
    </row>
    <row r="54" spans="2:15" ht="12.75" customHeight="1" x14ac:dyDescent="0.2">
      <c r="B54" t="s">
        <v>55</v>
      </c>
      <c r="E54" s="17">
        <f>E44*Kenndat!E$12/Kenndat!E$15*100</f>
        <v>42.867105785109253</v>
      </c>
      <c r="F54" s="17">
        <f>F44*Kenndat!F$12/Kenndat!F$15*100</f>
        <v>23.236821925789304</v>
      </c>
      <c r="G54" s="17">
        <f>G44*Kenndat!G$12/Kenndat!G$15*100</f>
        <v>19.220438713432355</v>
      </c>
      <c r="H54" s="17">
        <f>H44*Kenndat!H$12/Kenndat!H$15*100</f>
        <v>29.558909015196356</v>
      </c>
      <c r="I54" s="17">
        <f>I44*Kenndat!I$12/Kenndat!I$15*100</f>
        <v>38.522212111987074</v>
      </c>
      <c r="J54" s="17">
        <f>J44*Kenndat!J$12/Kenndat!J$15*100</f>
        <v>30.773053426674895</v>
      </c>
      <c r="K54" s="17">
        <f>K44*Kenndat!K$12/Kenndat!K$15*100</f>
        <v>28.250176646844228</v>
      </c>
      <c r="L54" s="17">
        <f>L44*Kenndat!L$12/Kenndat!L$15*100</f>
        <v>25.958246688563573</v>
      </c>
      <c r="M54" s="17">
        <f>M44*Kenndat!M$12/Kenndat!M$15*100</f>
        <v>36.474312094337833</v>
      </c>
      <c r="N54" s="17">
        <f>N44*Kenndat!N$12/Kenndat!N$15*100</f>
        <v>19.447196930485866</v>
      </c>
      <c r="O54" s="6">
        <f t="shared" si="7"/>
        <v>29.430847333842074</v>
      </c>
    </row>
    <row r="55" spans="2:15" ht="12.75" customHeight="1" x14ac:dyDescent="0.2">
      <c r="B55" t="s">
        <v>61</v>
      </c>
      <c r="E55" s="17">
        <f>E45*Kenndat!E$12/Kenndat!E$15*100</f>
        <v>11.720515463660007</v>
      </c>
      <c r="F55" s="17">
        <f>F45*Kenndat!F$12/Kenndat!F$15*100</f>
        <v>8.6173589896621614</v>
      </c>
      <c r="G55" s="17">
        <f>G45*Kenndat!G$12/Kenndat!G$15*100</f>
        <v>4.1349038930630844</v>
      </c>
      <c r="H55" s="17">
        <f>H45*Kenndat!H$12/Kenndat!H$15*100</f>
        <v>5.7327025087299592</v>
      </c>
      <c r="I55" s="17">
        <f>I45*Kenndat!I$12/Kenndat!I$15*100</f>
        <v>6.4429146956084464</v>
      </c>
      <c r="J55" s="17">
        <f>J45*Kenndat!J$12/Kenndat!J$15*100</f>
        <v>3.2396433049697566</v>
      </c>
      <c r="K55" s="17">
        <f>K45*Kenndat!K$12/Kenndat!K$15*100</f>
        <v>6.3460367439689582</v>
      </c>
      <c r="L55" s="17">
        <f>L45*Kenndat!L$12/Kenndat!L$15*100</f>
        <v>6.2387277776708228</v>
      </c>
      <c r="M55" s="17">
        <f>M45*Kenndat!M$12/Kenndat!M$15*100</f>
        <v>3.7457446160511871</v>
      </c>
      <c r="N55" s="17">
        <f>N45*Kenndat!N$12/Kenndat!N$15*100</f>
        <v>5.0307678770248145</v>
      </c>
      <c r="O55" s="6">
        <f t="shared" si="7"/>
        <v>6.1249315870409191</v>
      </c>
    </row>
    <row r="56" spans="2:15" ht="12.75" customHeight="1" x14ac:dyDescent="0.2">
      <c r="B56" t="s">
        <v>316</v>
      </c>
      <c r="E56" s="17">
        <f>E46*Kenndat!E$12/Kenndat!E$15*100</f>
        <v>2.553052280715927</v>
      </c>
      <c r="F56" s="17">
        <f>F46*Kenndat!F$12/Kenndat!F$15*100</f>
        <v>3.42863919948865</v>
      </c>
      <c r="G56" s="17">
        <f>G46*Kenndat!G$12/Kenndat!G$15*100</f>
        <v>3.0548141089214784</v>
      </c>
      <c r="H56" s="17">
        <f>H46*Kenndat!H$12/Kenndat!H$15*100</f>
        <v>0.42985881938509657</v>
      </c>
      <c r="I56" s="17">
        <f>I46*Kenndat!I$12/Kenndat!I$15*100</f>
        <v>-0.62710028605441304</v>
      </c>
      <c r="J56" s="17">
        <f>J46*Kenndat!J$12/Kenndat!J$15*100</f>
        <v>2.6773975364247922</v>
      </c>
      <c r="K56" s="17">
        <f>K46*Kenndat!K$12/Kenndat!K$15*100</f>
        <v>-5.6368290329313098</v>
      </c>
      <c r="L56" s="17">
        <f>L46*Kenndat!L$12/Kenndat!L$15*100</f>
        <v>1.7385124054443295</v>
      </c>
      <c r="M56" s="17">
        <f>M46*Kenndat!M$12/Kenndat!M$15*100</f>
        <v>-3.7572587693349959</v>
      </c>
      <c r="N56" s="17">
        <f>N46*Kenndat!N$12/Kenndat!N$15*100</f>
        <v>12.863416070253109</v>
      </c>
      <c r="O56" s="6">
        <f t="shared" si="7"/>
        <v>1.6724502332312663</v>
      </c>
    </row>
    <row r="57" spans="2:15" ht="12.75" customHeight="1" x14ac:dyDescent="0.2">
      <c r="B57" t="s">
        <v>65</v>
      </c>
      <c r="E57" s="17">
        <f>E47*Kenndat!E$12/Kenndat!E$15*100</f>
        <v>52.094040363126012</v>
      </c>
      <c r="F57" s="17">
        <f>F47*Kenndat!F$12/Kenndat!F$15*100</f>
        <v>43.368457516283634</v>
      </c>
      <c r="G57" s="17">
        <f>G47*Kenndat!G$12/Kenndat!G$15*100</f>
        <v>41.1560393312419</v>
      </c>
      <c r="H57" s="17">
        <f>H47*Kenndat!H$12/Kenndat!H$15*100</f>
        <v>46.910753651017991</v>
      </c>
      <c r="I57" s="17">
        <f>I47*Kenndat!I$12/Kenndat!I$15*100</f>
        <v>51.579561135740079</v>
      </c>
      <c r="J57" s="17">
        <f>J47*Kenndat!J$12/Kenndat!J$15*100</f>
        <v>47.222143984560546</v>
      </c>
      <c r="K57" s="17">
        <f>K47*Kenndat!K$12/Kenndat!K$15*100</f>
        <v>43.667515946062288</v>
      </c>
      <c r="L57" s="17">
        <f>L47*Kenndat!L$12/Kenndat!L$15*100</f>
        <v>43.537246543795646</v>
      </c>
      <c r="M57" s="17">
        <f>M47*Kenndat!M$12/Kenndat!M$15*100</f>
        <v>34.833501541697586</v>
      </c>
      <c r="N57" s="17">
        <f>N47*Kenndat!N$12/Kenndat!N$15*100</f>
        <v>36.538826999448325</v>
      </c>
      <c r="O57" s="6">
        <f t="shared" si="7"/>
        <v>44.090808701297405</v>
      </c>
    </row>
    <row r="58" spans="2:15" ht="12.75" customHeight="1" x14ac:dyDescent="0.2">
      <c r="B58" s="4" t="s">
        <v>317</v>
      </c>
      <c r="E58" s="33">
        <f>E48*Kenndat!E$12/Kenndat!E$15*100</f>
        <v>109.2347138926112</v>
      </c>
      <c r="F58" s="33">
        <f>F48*Kenndat!F$12/Kenndat!F$15*100</f>
        <v>78.651277631223749</v>
      </c>
      <c r="G58" s="33">
        <f>G48*Kenndat!G$12/Kenndat!G$15*100</f>
        <v>67.566196046658817</v>
      </c>
      <c r="H58" s="33">
        <f>H48*Kenndat!H$12/Kenndat!H$15*100</f>
        <v>82.632223994329408</v>
      </c>
      <c r="I58" s="33">
        <f>I48*Kenndat!I$12/Kenndat!I$15*100</f>
        <v>95.917587657281189</v>
      </c>
      <c r="J58" s="33">
        <f>J48*Kenndat!J$12/Kenndat!J$15*100</f>
        <v>83.91223825262999</v>
      </c>
      <c r="K58" s="33">
        <f>K48*Kenndat!K$12/Kenndat!K$15*100</f>
        <v>72.626900303944169</v>
      </c>
      <c r="L58" s="33">
        <f>L48*Kenndat!L$12/Kenndat!L$15*100</f>
        <v>77.47273341547438</v>
      </c>
      <c r="M58" s="33">
        <f>M48*Kenndat!M$12/Kenndat!M$15*100</f>
        <v>71.296299482751607</v>
      </c>
      <c r="N58" s="33">
        <f>N48*Kenndat!N$12/Kenndat!N$15*100</f>
        <v>73.880207877212129</v>
      </c>
      <c r="O58" s="8">
        <f t="shared" si="7"/>
        <v>81.319037855411665</v>
      </c>
    </row>
    <row r="59" spans="2:15" ht="12.75" customHeight="1" x14ac:dyDescent="0.2">
      <c r="B59" t="s">
        <v>318</v>
      </c>
      <c r="E59" s="17">
        <f>E49*Kenndat!E$12/Kenndat!E$15*100</f>
        <v>-23.442905833969217</v>
      </c>
      <c r="F59" s="17">
        <f>F49*Kenndat!F$12/Kenndat!F$15*100</f>
        <v>-16.268338760577166</v>
      </c>
      <c r="G59" s="17">
        <f>G49*Kenndat!G$12/Kenndat!G$15*100</f>
        <v>-14.015111078141306</v>
      </c>
      <c r="H59" s="17">
        <f>H49*Kenndat!H$12/Kenndat!H$15*100</f>
        <v>-15.483128320003454</v>
      </c>
      <c r="I59" s="17">
        <f>I49*Kenndat!I$12/Kenndat!I$15*100</f>
        <v>-18.450921797915122</v>
      </c>
      <c r="J59" s="17">
        <f>J49*Kenndat!J$12/Kenndat!J$15*100</f>
        <v>-15.33730808755562</v>
      </c>
      <c r="K59" s="17">
        <f>K49*Kenndat!K$12/Kenndat!K$15*100</f>
        <v>-13.208113928604694</v>
      </c>
      <c r="L59" s="17">
        <f>L49*Kenndat!L$12/Kenndat!L$15*100</f>
        <v>-14.322983499022426</v>
      </c>
      <c r="M59" s="17">
        <f>M49*Kenndat!M$12/Kenndat!M$15*100</f>
        <v>-16.297810138660683</v>
      </c>
      <c r="N59" s="17">
        <f>N49*Kenndat!N$12/Kenndat!N$15*100</f>
        <v>0.3533309523063296</v>
      </c>
      <c r="O59" s="6">
        <f t="shared" si="7"/>
        <v>-14.647329049214335</v>
      </c>
    </row>
    <row r="60" spans="2:15" ht="12.75" customHeight="1" x14ac:dyDescent="0.2">
      <c r="B60" s="4" t="s">
        <v>319</v>
      </c>
      <c r="E60" s="33">
        <f>E50*Kenndat!E$12/Kenndat!E$15*100</f>
        <v>85.791808058641976</v>
      </c>
      <c r="F60" s="33">
        <f>F50*Kenndat!F$12/Kenndat!F$15*100</f>
        <v>62.382938870646583</v>
      </c>
      <c r="G60" s="33">
        <f>G50*Kenndat!G$12/Kenndat!G$15*100</f>
        <v>53.551084968517515</v>
      </c>
      <c r="H60" s="33">
        <f>H50*Kenndat!H$12/Kenndat!H$15*100</f>
        <v>67.149095674325949</v>
      </c>
      <c r="I60" s="33">
        <f>I50*Kenndat!I$12/Kenndat!I$15*100</f>
        <v>77.466665859366074</v>
      </c>
      <c r="J60" s="33">
        <f>J50*Kenndat!J$12/Kenndat!J$15*100</f>
        <v>68.574930165074363</v>
      </c>
      <c r="K60" s="33">
        <f>K50*Kenndat!K$12/Kenndat!K$15*100</f>
        <v>59.418786375339479</v>
      </c>
      <c r="L60" s="33">
        <f>L50*Kenndat!L$12/Kenndat!L$15*100</f>
        <v>63.149749916451945</v>
      </c>
      <c r="M60" s="33">
        <f>M50*Kenndat!M$12/Kenndat!M$15*100</f>
        <v>54.998489344090927</v>
      </c>
      <c r="N60" s="33">
        <f>N50*Kenndat!N$12/Kenndat!N$15*100</f>
        <v>74.233538829518437</v>
      </c>
      <c r="O60" s="8">
        <f t="shared" si="7"/>
        <v>66.67170880619733</v>
      </c>
    </row>
  </sheetData>
  <mergeCells count="10">
    <mergeCell ref="D38:M38"/>
    <mergeCell ref="D39:M39"/>
    <mergeCell ref="D42:M42"/>
    <mergeCell ref="D52:M52"/>
    <mergeCell ref="D1:M1"/>
    <mergeCell ref="D2:M2"/>
    <mergeCell ref="D29:M29"/>
    <mergeCell ref="D5:M5"/>
    <mergeCell ref="D13:M13"/>
    <mergeCell ref="D21:M21"/>
  </mergeCells>
  <phoneticPr fontId="0" type="noConversion"/>
  <printOptions horizontalCentered="1"/>
  <pageMargins left="0.78740157480314965" right="0.78740157480314965" top="0.78740157480314965" bottom="0.78740157480314965" header="0.43307086614173229" footer="0.43307086614173229"/>
  <pageSetup paperSize="9" orientation="landscape" r:id="rId1"/>
  <headerFooter alignWithMargins="0">
    <oddFooter>&amp;L&amp;8BOKU / HVLFÖ&amp;C&amp;8DVR-Nr: 0890723 &amp;R&amp;8&amp;D</oddFooter>
  </headerFooter>
  <rowBreaks count="1" manualBreakCount="1">
    <brk id="37" max="16383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24</vt:i4>
      </vt:variant>
    </vt:vector>
  </HeadingPairs>
  <TitlesOfParts>
    <vt:vector size="24" baseType="lpstr">
      <vt:lpstr>Input</vt:lpstr>
      <vt:lpstr>Kenndat</vt:lpstr>
      <vt:lpstr>DB-fm</vt:lpstr>
      <vt:lpstr>DB-ha</vt:lpstr>
      <vt:lpstr>fm-ES</vt:lpstr>
      <vt:lpstr>fm-HS</vt:lpstr>
      <vt:lpstr>ha-ES</vt:lpstr>
      <vt:lpstr>ha-HS</vt:lpstr>
      <vt:lpstr>KZ</vt:lpstr>
      <vt:lpstr>Holzertrag</vt:lpstr>
      <vt:lpstr>Holzertr-Menge%</vt:lpstr>
      <vt:lpstr>Holzertr-Wert%</vt:lpstr>
      <vt:lpstr>Kst-fm-ES</vt:lpstr>
      <vt:lpstr>Kst-fm-HS</vt:lpstr>
      <vt:lpstr>Kst-ha-ES</vt:lpstr>
      <vt:lpstr>Kst-ha-HS</vt:lpstr>
      <vt:lpstr>KOA-fm-ES</vt:lpstr>
      <vt:lpstr>KOA-fm-HS</vt:lpstr>
      <vt:lpstr>KOA-ha-ES</vt:lpstr>
      <vt:lpstr>KOA-ha-HS</vt:lpstr>
      <vt:lpstr>Struktur-ES</vt:lpstr>
      <vt:lpstr>Struktur-HS</vt:lpstr>
      <vt:lpstr>Verm-ha-ES</vt:lpstr>
      <vt:lpstr>Zusatz</vt:lpstr>
    </vt:vector>
  </TitlesOfParts>
  <Company>Boku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Walter Sekot</dc:creator>
  <cp:lastModifiedBy>Metzker Marietta</cp:lastModifiedBy>
  <cp:lastPrinted>2022-12-22T11:50:34Z</cp:lastPrinted>
  <dcterms:created xsi:type="dcterms:W3CDTF">1998-08-12T09:23:31Z</dcterms:created>
  <dcterms:modified xsi:type="dcterms:W3CDTF">2025-12-17T14:43:41Z</dcterms:modified>
</cp:coreProperties>
</file>